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brugge-my.sharepoint.com/personal/evelien_hauwaerts_brugge_be/Documents/Lezingen en andere activiteiten/2024-06 IIIF Getty LA/Survey/"/>
    </mc:Choice>
  </mc:AlternateContent>
  <xr:revisionPtr revIDLastSave="6" documentId="8_{A6CFED78-C0F7-46F2-A601-DBB5AEC6B407}" xr6:coauthVersionLast="47" xr6:coauthVersionMax="47" xr10:uidLastSave="{0079DD8A-497E-40B5-99D5-EA1CE8DEB26F}"/>
  <bookViews>
    <workbookView xWindow="-108" yWindow="-108" windowWidth="23256" windowHeight="12576" xr2:uid="{00000000-000D-0000-FFFF-FFFF00000000}"/>
  </bookViews>
  <sheets>
    <sheet name="All" sheetId="1" r:id="rId1"/>
    <sheet name="Unaware of IIIF before workshop" sheetId="2" r:id="rId2"/>
    <sheet name="Not using IIIF now"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 r="AF11" i="3"/>
  <c r="AE11" i="3"/>
  <c r="AD11" i="3"/>
  <c r="AC11" i="3"/>
  <c r="AB11" i="3"/>
  <c r="Q11" i="3"/>
  <c r="P11" i="3"/>
  <c r="O11" i="3"/>
  <c r="N11" i="3"/>
  <c r="I11" i="3"/>
  <c r="H11" i="3"/>
  <c r="G11" i="3"/>
  <c r="F11" i="3"/>
  <c r="D11" i="3"/>
  <c r="C11" i="3"/>
  <c r="B11" i="3"/>
  <c r="A11" i="3"/>
  <c r="AG10" i="3"/>
  <c r="AF10" i="3"/>
  <c r="AE10" i="3"/>
  <c r="AD10" i="3"/>
  <c r="AC10" i="3"/>
  <c r="AB10" i="3"/>
  <c r="Q10" i="3"/>
  <c r="P10" i="3"/>
  <c r="O10" i="3"/>
  <c r="N10" i="3"/>
  <c r="I10" i="3"/>
  <c r="H10" i="3"/>
  <c r="G10" i="3"/>
  <c r="F10" i="3"/>
  <c r="D10" i="3"/>
  <c r="C10" i="3"/>
  <c r="B10" i="3"/>
  <c r="A10" i="3"/>
  <c r="AF9" i="3"/>
  <c r="AE9" i="3"/>
  <c r="AD9" i="3"/>
  <c r="AC9" i="3"/>
  <c r="AB9" i="3"/>
  <c r="Q9" i="3"/>
  <c r="P9" i="3"/>
  <c r="O9" i="3"/>
  <c r="N9" i="3"/>
  <c r="I9" i="3"/>
  <c r="H9" i="3"/>
  <c r="G9" i="3"/>
  <c r="F9" i="3"/>
  <c r="D9" i="3"/>
  <c r="C9" i="3"/>
  <c r="B9" i="3"/>
  <c r="A9" i="3"/>
  <c r="AG8" i="3"/>
  <c r="AF8" i="3"/>
  <c r="AE8" i="3"/>
  <c r="AD8" i="3"/>
  <c r="AC8" i="3"/>
  <c r="AB8" i="3"/>
  <c r="Q8" i="3"/>
  <c r="P8" i="3"/>
  <c r="O8" i="3"/>
  <c r="N8" i="3"/>
  <c r="I8" i="3"/>
  <c r="H8" i="3"/>
  <c r="G8" i="3"/>
  <c r="F8" i="3"/>
  <c r="D8" i="3"/>
  <c r="C8" i="3"/>
  <c r="B8" i="3"/>
  <c r="A8" i="3"/>
  <c r="AI7" i="3"/>
  <c r="AG7" i="3"/>
  <c r="AF7" i="3"/>
  <c r="AE7" i="3"/>
  <c r="AD7" i="3"/>
  <c r="AC7" i="3"/>
  <c r="AB7" i="3"/>
  <c r="Q7" i="3"/>
  <c r="P7" i="3"/>
  <c r="O7" i="3"/>
  <c r="N7" i="3"/>
  <c r="I7" i="3"/>
  <c r="H7" i="3"/>
  <c r="G7" i="3"/>
  <c r="F7" i="3"/>
  <c r="D7" i="3"/>
  <c r="C7" i="3"/>
  <c r="B7" i="3"/>
  <c r="A7" i="3"/>
  <c r="AF6" i="3"/>
  <c r="AE6" i="3"/>
  <c r="AD6" i="3"/>
  <c r="AC6" i="3"/>
  <c r="AB6" i="3"/>
  <c r="Q6" i="3"/>
  <c r="P6" i="3"/>
  <c r="O6" i="3"/>
  <c r="N6" i="3"/>
  <c r="I6" i="3"/>
  <c r="H6" i="3"/>
  <c r="G6" i="3"/>
  <c r="F6" i="3"/>
  <c r="D6" i="3"/>
  <c r="C6" i="3"/>
  <c r="B6" i="3"/>
  <c r="A6" i="3"/>
  <c r="AG5" i="3"/>
  <c r="AF5" i="3"/>
  <c r="AE5" i="3"/>
  <c r="AD5" i="3"/>
  <c r="AC5" i="3"/>
  <c r="AB5" i="3"/>
  <c r="Q5" i="3"/>
  <c r="P5" i="3"/>
  <c r="O5" i="3"/>
  <c r="N5" i="3"/>
  <c r="K5" i="3"/>
  <c r="J5" i="3"/>
  <c r="I5" i="3"/>
  <c r="H5" i="3"/>
  <c r="G5" i="3"/>
  <c r="F5" i="3"/>
  <c r="D5" i="3"/>
  <c r="C5" i="3"/>
  <c r="B5" i="3"/>
  <c r="A5" i="3"/>
  <c r="AI4" i="3"/>
  <c r="AH4" i="3"/>
  <c r="AF4" i="3"/>
  <c r="AE4" i="3"/>
  <c r="AD4" i="3"/>
  <c r="AC4" i="3"/>
  <c r="AB4" i="3"/>
  <c r="Q4" i="3"/>
  <c r="P4" i="3"/>
  <c r="O4" i="3"/>
  <c r="N4" i="3"/>
  <c r="I4" i="3"/>
  <c r="H4" i="3"/>
  <c r="G4" i="3"/>
  <c r="F4" i="3"/>
  <c r="D4" i="3"/>
  <c r="C4" i="3"/>
  <c r="B4" i="3"/>
  <c r="A4" i="3"/>
  <c r="AF3" i="3"/>
  <c r="AE3" i="3"/>
  <c r="AD3" i="3"/>
  <c r="AC3" i="3"/>
  <c r="AB3" i="3"/>
  <c r="Q3" i="3"/>
  <c r="P3" i="3"/>
  <c r="O3" i="3"/>
  <c r="N3" i="3"/>
  <c r="I3" i="3"/>
  <c r="H3" i="3"/>
  <c r="G3" i="3"/>
  <c r="F3" i="3"/>
  <c r="D3" i="3"/>
  <c r="C3" i="3"/>
  <c r="B3" i="3"/>
  <c r="A3" i="3"/>
  <c r="AG2" i="3"/>
  <c r="AF2" i="3"/>
  <c r="AE2" i="3"/>
  <c r="AD2" i="3"/>
  <c r="Z2" i="3"/>
  <c r="Y2" i="3"/>
  <c r="X2" i="3"/>
  <c r="W2" i="3"/>
  <c r="V2" i="3"/>
  <c r="U2" i="3"/>
  <c r="T2" i="3"/>
  <c r="S2" i="3"/>
  <c r="R2" i="3"/>
  <c r="Q2" i="3"/>
  <c r="P2" i="3"/>
  <c r="O2" i="3"/>
  <c r="N2" i="3"/>
  <c r="J2" i="3"/>
  <c r="I2" i="3"/>
  <c r="H2" i="3"/>
  <c r="G2" i="3"/>
  <c r="F2" i="3"/>
  <c r="D2" i="3"/>
  <c r="C2" i="3"/>
  <c r="B2" i="3"/>
  <c r="A2" i="3"/>
  <c r="AO1" i="3"/>
  <c r="AN1" i="3"/>
  <c r="AM1" i="3"/>
  <c r="AL1" i="3"/>
  <c r="AK1" i="3"/>
  <c r="AJ1" i="3"/>
  <c r="AI1" i="3"/>
  <c r="AH1" i="3"/>
  <c r="AG1" i="3"/>
  <c r="AF1" i="3"/>
  <c r="AE1" i="3"/>
  <c r="AD1" i="3"/>
  <c r="AC1" i="3"/>
  <c r="AB1" i="3"/>
  <c r="AA1" i="3"/>
  <c r="Z1" i="3"/>
  <c r="Y1" i="3"/>
  <c r="X1" i="3"/>
  <c r="W1" i="3"/>
  <c r="V1" i="3"/>
  <c r="U1" i="3"/>
  <c r="T1" i="3"/>
  <c r="S1" i="3"/>
  <c r="R1" i="3"/>
  <c r="Q1" i="3"/>
  <c r="P1" i="3"/>
  <c r="O1" i="3"/>
  <c r="N1" i="3"/>
  <c r="M1" i="3"/>
  <c r="L1" i="3"/>
  <c r="K1" i="3"/>
  <c r="J1" i="3"/>
  <c r="I1" i="3"/>
  <c r="H1" i="3"/>
  <c r="G1" i="3"/>
  <c r="F1" i="3"/>
  <c r="E1" i="3"/>
  <c r="D1" i="3"/>
  <c r="C1" i="3"/>
  <c r="B1" i="3"/>
  <c r="AF29" i="2"/>
  <c r="AE29" i="2"/>
  <c r="AD29" i="2"/>
  <c r="AC29" i="2"/>
  <c r="AB29" i="2"/>
  <c r="Q29" i="2"/>
  <c r="P29" i="2"/>
  <c r="O29" i="2"/>
  <c r="N29" i="2"/>
  <c r="I29" i="2"/>
  <c r="H29" i="2"/>
  <c r="G29" i="2"/>
  <c r="F29" i="2"/>
  <c r="D29" i="2"/>
  <c r="C29" i="2"/>
  <c r="B29" i="2"/>
  <c r="A29" i="2"/>
  <c r="AG28" i="2"/>
  <c r="AF28" i="2"/>
  <c r="AE28" i="2"/>
  <c r="AD28" i="2"/>
  <c r="AC28" i="2"/>
  <c r="AB28" i="2"/>
  <c r="Q28" i="2"/>
  <c r="P28" i="2"/>
  <c r="O28" i="2"/>
  <c r="N28" i="2"/>
  <c r="I28" i="2"/>
  <c r="H28" i="2"/>
  <c r="G28" i="2"/>
  <c r="F28" i="2"/>
  <c r="D28" i="2"/>
  <c r="C28" i="2"/>
  <c r="B28" i="2"/>
  <c r="A28" i="2"/>
  <c r="AF27" i="2"/>
  <c r="AE27" i="2"/>
  <c r="AD27" i="2"/>
  <c r="Z27" i="2"/>
  <c r="X27" i="2"/>
  <c r="W27" i="2"/>
  <c r="V27" i="2"/>
  <c r="U27" i="2"/>
  <c r="T27" i="2"/>
  <c r="S27" i="2"/>
  <c r="R27" i="2"/>
  <c r="Q27" i="2"/>
  <c r="P27" i="2"/>
  <c r="O27" i="2"/>
  <c r="N27" i="2"/>
  <c r="I27" i="2"/>
  <c r="H27" i="2"/>
  <c r="G27" i="2"/>
  <c r="F27" i="2"/>
  <c r="D27" i="2"/>
  <c r="C27" i="2"/>
  <c r="B27" i="2"/>
  <c r="A27" i="2"/>
  <c r="AF26" i="2"/>
  <c r="AE26" i="2"/>
  <c r="AD26" i="2"/>
  <c r="AC26" i="2"/>
  <c r="AB26" i="2"/>
  <c r="Q26" i="2"/>
  <c r="P26" i="2"/>
  <c r="O26" i="2"/>
  <c r="N26" i="2"/>
  <c r="I26" i="2"/>
  <c r="H26" i="2"/>
  <c r="G26" i="2"/>
  <c r="F26" i="2"/>
  <c r="D26" i="2"/>
  <c r="C26" i="2"/>
  <c r="B26" i="2"/>
  <c r="A26" i="2"/>
  <c r="AI25" i="2"/>
  <c r="AH25" i="2"/>
  <c r="AG25" i="2"/>
  <c r="AF25" i="2"/>
  <c r="AE25" i="2"/>
  <c r="AD25" i="2"/>
  <c r="AC25" i="2"/>
  <c r="AB25" i="2"/>
  <c r="Q25" i="2"/>
  <c r="P25" i="2"/>
  <c r="O25" i="2"/>
  <c r="N25" i="2"/>
  <c r="I25" i="2"/>
  <c r="H25" i="2"/>
  <c r="G25" i="2"/>
  <c r="F25" i="2"/>
  <c r="D25" i="2"/>
  <c r="C25" i="2"/>
  <c r="B25" i="2"/>
  <c r="A25" i="2"/>
  <c r="AF24" i="2"/>
  <c r="AE24" i="2"/>
  <c r="AD24" i="2"/>
  <c r="Z24" i="2"/>
  <c r="X24" i="2"/>
  <c r="W24" i="2"/>
  <c r="V24" i="2"/>
  <c r="U24" i="2"/>
  <c r="T24" i="2"/>
  <c r="S24" i="2"/>
  <c r="R24" i="2"/>
  <c r="Q24" i="2"/>
  <c r="P24" i="2"/>
  <c r="O24" i="2"/>
  <c r="N24" i="2"/>
  <c r="I24" i="2"/>
  <c r="H24" i="2"/>
  <c r="G24" i="2"/>
  <c r="F24" i="2"/>
  <c r="D24" i="2"/>
  <c r="C24" i="2"/>
  <c r="B24" i="2"/>
  <c r="A24" i="2"/>
  <c r="AI23" i="2"/>
  <c r="AH23" i="2"/>
  <c r="AF23" i="2"/>
  <c r="AE23" i="2"/>
  <c r="AD23" i="2"/>
  <c r="AA23" i="2"/>
  <c r="Z23" i="2"/>
  <c r="Y23" i="2"/>
  <c r="X23" i="2"/>
  <c r="W23" i="2"/>
  <c r="V23" i="2"/>
  <c r="U23" i="2"/>
  <c r="T23" i="2"/>
  <c r="S23" i="2"/>
  <c r="R23" i="2"/>
  <c r="Q23" i="2"/>
  <c r="P23" i="2"/>
  <c r="O23" i="2"/>
  <c r="N23" i="2"/>
  <c r="I23" i="2"/>
  <c r="H23" i="2"/>
  <c r="G23" i="2"/>
  <c r="F23" i="2"/>
  <c r="D23" i="2"/>
  <c r="C23" i="2"/>
  <c r="B23" i="2"/>
  <c r="A23" i="2"/>
  <c r="AI22" i="2"/>
  <c r="AG22" i="2"/>
  <c r="AF22" i="2"/>
  <c r="AE22" i="2"/>
  <c r="AD22" i="2"/>
  <c r="Z22" i="2"/>
  <c r="X22" i="2"/>
  <c r="W22" i="2"/>
  <c r="V22" i="2"/>
  <c r="U22" i="2"/>
  <c r="T22" i="2"/>
  <c r="S22" i="2"/>
  <c r="R22" i="2"/>
  <c r="Q22" i="2"/>
  <c r="P22" i="2"/>
  <c r="O22" i="2"/>
  <c r="N22" i="2"/>
  <c r="I22" i="2"/>
  <c r="H22" i="2"/>
  <c r="G22" i="2"/>
  <c r="F22" i="2"/>
  <c r="D22" i="2"/>
  <c r="C22" i="2"/>
  <c r="B22" i="2"/>
  <c r="A22" i="2"/>
  <c r="AI21" i="2"/>
  <c r="AH21" i="2"/>
  <c r="AG21" i="2"/>
  <c r="AF21" i="2"/>
  <c r="AE21" i="2"/>
  <c r="AD21" i="2"/>
  <c r="Z21" i="2"/>
  <c r="X21" i="2"/>
  <c r="W21" i="2"/>
  <c r="V21" i="2"/>
  <c r="U21" i="2"/>
  <c r="T21" i="2"/>
  <c r="S21" i="2"/>
  <c r="R21" i="2"/>
  <c r="Q21" i="2"/>
  <c r="P21" i="2"/>
  <c r="O21" i="2"/>
  <c r="N21" i="2"/>
  <c r="I21" i="2"/>
  <c r="H21" i="2"/>
  <c r="G21" i="2"/>
  <c r="F21" i="2"/>
  <c r="D21" i="2"/>
  <c r="C21" i="2"/>
  <c r="B21" i="2"/>
  <c r="A21" i="2"/>
  <c r="AI20" i="2"/>
  <c r="AH20" i="2"/>
  <c r="AG20" i="2"/>
  <c r="AF20" i="2"/>
  <c r="AE20" i="2"/>
  <c r="AD20" i="2"/>
  <c r="AC20" i="2"/>
  <c r="AB20" i="2"/>
  <c r="Q20" i="2"/>
  <c r="P20" i="2"/>
  <c r="O20" i="2"/>
  <c r="N20" i="2"/>
  <c r="I20" i="2"/>
  <c r="H20" i="2"/>
  <c r="G20" i="2"/>
  <c r="F20" i="2"/>
  <c r="D20" i="2"/>
  <c r="C20" i="2"/>
  <c r="B20" i="2"/>
  <c r="A20" i="2"/>
  <c r="AH19" i="2"/>
  <c r="AF19" i="2"/>
  <c r="AE19" i="2"/>
  <c r="AD19" i="2"/>
  <c r="Z19" i="2"/>
  <c r="X19" i="2"/>
  <c r="W19" i="2"/>
  <c r="V19" i="2"/>
  <c r="U19" i="2"/>
  <c r="T19" i="2"/>
  <c r="S19" i="2"/>
  <c r="R19" i="2"/>
  <c r="Q19" i="2"/>
  <c r="P19" i="2"/>
  <c r="O19" i="2"/>
  <c r="N19" i="2"/>
  <c r="I19" i="2"/>
  <c r="H19" i="2"/>
  <c r="G19" i="2"/>
  <c r="F19" i="2"/>
  <c r="D19" i="2"/>
  <c r="C19" i="2"/>
  <c r="B19" i="2"/>
  <c r="A19" i="2"/>
  <c r="AI18" i="2"/>
  <c r="AH18" i="2"/>
  <c r="AG18" i="2"/>
  <c r="AF18" i="2"/>
  <c r="AE18" i="2"/>
  <c r="AD18" i="2"/>
  <c r="Z18" i="2"/>
  <c r="X18" i="2"/>
  <c r="W18" i="2"/>
  <c r="V18" i="2"/>
  <c r="U18" i="2"/>
  <c r="T18" i="2"/>
  <c r="S18" i="2"/>
  <c r="R18" i="2"/>
  <c r="Q18" i="2"/>
  <c r="P18" i="2"/>
  <c r="O18" i="2"/>
  <c r="N18" i="2"/>
  <c r="I18" i="2"/>
  <c r="H18" i="2"/>
  <c r="G18" i="2"/>
  <c r="F18" i="2"/>
  <c r="D18" i="2"/>
  <c r="C18" i="2"/>
  <c r="B18" i="2"/>
  <c r="A18" i="2"/>
  <c r="AG17" i="2"/>
  <c r="AF17" i="2"/>
  <c r="AE17" i="2"/>
  <c r="AD17" i="2"/>
  <c r="AC17" i="2"/>
  <c r="AB17" i="2"/>
  <c r="Q17" i="2"/>
  <c r="P17" i="2"/>
  <c r="O17" i="2"/>
  <c r="N17" i="2"/>
  <c r="I17" i="2"/>
  <c r="H17" i="2"/>
  <c r="G17" i="2"/>
  <c r="F17" i="2"/>
  <c r="D17" i="2"/>
  <c r="C17" i="2"/>
  <c r="B17" i="2"/>
  <c r="A17" i="2"/>
  <c r="AI16" i="2"/>
  <c r="AG16" i="2"/>
  <c r="AF16" i="2"/>
  <c r="AE16" i="2"/>
  <c r="AD16" i="2"/>
  <c r="AC16" i="2"/>
  <c r="AB16" i="2"/>
  <c r="Q16" i="2"/>
  <c r="P16" i="2"/>
  <c r="O16" i="2"/>
  <c r="N16" i="2"/>
  <c r="I16" i="2"/>
  <c r="H16" i="2"/>
  <c r="G16" i="2"/>
  <c r="F16" i="2"/>
  <c r="D16" i="2"/>
  <c r="C16" i="2"/>
  <c r="B16" i="2"/>
  <c r="A16" i="2"/>
  <c r="AF15" i="2"/>
  <c r="AE15" i="2"/>
  <c r="AD15" i="2"/>
  <c r="AC15" i="2"/>
  <c r="AB15" i="2"/>
  <c r="Q15" i="2"/>
  <c r="P15" i="2"/>
  <c r="O15" i="2"/>
  <c r="N15" i="2"/>
  <c r="I15" i="2"/>
  <c r="H15" i="2"/>
  <c r="G15" i="2"/>
  <c r="F15" i="2"/>
  <c r="D15" i="2"/>
  <c r="C15" i="2"/>
  <c r="B15" i="2"/>
  <c r="A15" i="2"/>
  <c r="AG14" i="2"/>
  <c r="AF14" i="2"/>
  <c r="AE14" i="2"/>
  <c r="AD14" i="2"/>
  <c r="Z14" i="2"/>
  <c r="X14" i="2"/>
  <c r="W14" i="2"/>
  <c r="V14" i="2"/>
  <c r="U14" i="2"/>
  <c r="T14" i="2"/>
  <c r="S14" i="2"/>
  <c r="R14" i="2"/>
  <c r="Q14" i="2"/>
  <c r="P14" i="2"/>
  <c r="O14" i="2"/>
  <c r="N14" i="2"/>
  <c r="I14" i="2"/>
  <c r="H14" i="2"/>
  <c r="G14" i="2"/>
  <c r="F14" i="2"/>
  <c r="D14" i="2"/>
  <c r="C14" i="2"/>
  <c r="B14" i="2"/>
  <c r="A14" i="2"/>
  <c r="AI13" i="2"/>
  <c r="AF13" i="2"/>
  <c r="AE13" i="2"/>
  <c r="AD13" i="2"/>
  <c r="Z13" i="2"/>
  <c r="X13" i="2"/>
  <c r="W13" i="2"/>
  <c r="V13" i="2"/>
  <c r="U13" i="2"/>
  <c r="T13" i="2"/>
  <c r="S13" i="2"/>
  <c r="R13" i="2"/>
  <c r="Q13" i="2"/>
  <c r="P13" i="2"/>
  <c r="O13" i="2"/>
  <c r="N13" i="2"/>
  <c r="I13" i="2"/>
  <c r="H13" i="2"/>
  <c r="G13" i="2"/>
  <c r="F13" i="2"/>
  <c r="D13" i="2"/>
  <c r="C13" i="2"/>
  <c r="B13" i="2"/>
  <c r="A13" i="2"/>
  <c r="AH12" i="2"/>
  <c r="AG12" i="2"/>
  <c r="AF12" i="2"/>
  <c r="AE12" i="2"/>
  <c r="AD12" i="2"/>
  <c r="Z12" i="2"/>
  <c r="X12" i="2"/>
  <c r="W12" i="2"/>
  <c r="V12" i="2"/>
  <c r="U12" i="2"/>
  <c r="T12" i="2"/>
  <c r="S12" i="2"/>
  <c r="R12" i="2"/>
  <c r="Q12" i="2"/>
  <c r="P12" i="2"/>
  <c r="O12" i="2"/>
  <c r="N12" i="2"/>
  <c r="I12" i="2"/>
  <c r="H12" i="2"/>
  <c r="G12" i="2"/>
  <c r="F12" i="2"/>
  <c r="D12" i="2"/>
  <c r="C12" i="2"/>
  <c r="B12" i="2"/>
  <c r="A12" i="2"/>
  <c r="AI11" i="2"/>
  <c r="AH11" i="2"/>
  <c r="AF11" i="2"/>
  <c r="AE11" i="2"/>
  <c r="AD11" i="2"/>
  <c r="AC11" i="2"/>
  <c r="AB11" i="2"/>
  <c r="Q11" i="2"/>
  <c r="P11" i="2"/>
  <c r="O11" i="2"/>
  <c r="N11" i="2"/>
  <c r="I11" i="2"/>
  <c r="H11" i="2"/>
  <c r="G11" i="2"/>
  <c r="F11" i="2"/>
  <c r="D11" i="2"/>
  <c r="C11" i="2"/>
  <c r="B11" i="2"/>
  <c r="A11" i="2"/>
  <c r="AI10" i="2"/>
  <c r="AG10" i="2"/>
  <c r="AF10" i="2"/>
  <c r="AE10" i="2"/>
  <c r="AD10" i="2"/>
  <c r="Z10" i="2"/>
  <c r="X10" i="2"/>
  <c r="W10" i="2"/>
  <c r="V10" i="2"/>
  <c r="U10" i="2"/>
  <c r="T10" i="2"/>
  <c r="S10" i="2"/>
  <c r="R10" i="2"/>
  <c r="Q10" i="2"/>
  <c r="P10" i="2"/>
  <c r="O10" i="2"/>
  <c r="N10" i="2"/>
  <c r="I10" i="2"/>
  <c r="H10" i="2"/>
  <c r="G10" i="2"/>
  <c r="F10" i="2"/>
  <c r="D10" i="2"/>
  <c r="C10" i="2"/>
  <c r="B10" i="2"/>
  <c r="A10" i="2"/>
  <c r="AI9" i="2"/>
  <c r="AH9" i="2"/>
  <c r="AF9" i="2"/>
  <c r="AE9" i="2"/>
  <c r="AD9" i="2"/>
  <c r="AC9" i="2"/>
  <c r="AB9" i="2"/>
  <c r="Q9" i="2"/>
  <c r="P9" i="2"/>
  <c r="O9" i="2"/>
  <c r="N9" i="2"/>
  <c r="I9" i="2"/>
  <c r="H9" i="2"/>
  <c r="G9" i="2"/>
  <c r="F9" i="2"/>
  <c r="D9" i="2"/>
  <c r="C9" i="2"/>
  <c r="B9" i="2"/>
  <c r="A9" i="2"/>
  <c r="AI8" i="2"/>
  <c r="AF8" i="2"/>
  <c r="AE8" i="2"/>
  <c r="AD8" i="2"/>
  <c r="Z8" i="2"/>
  <c r="X8" i="2"/>
  <c r="W8" i="2"/>
  <c r="V8" i="2"/>
  <c r="U8" i="2"/>
  <c r="T8" i="2"/>
  <c r="S8" i="2"/>
  <c r="R8" i="2"/>
  <c r="Q8" i="2"/>
  <c r="P8" i="2"/>
  <c r="O8" i="2"/>
  <c r="N8" i="2"/>
  <c r="I8" i="2"/>
  <c r="H8" i="2"/>
  <c r="G8" i="2"/>
  <c r="F8" i="2"/>
  <c r="D8" i="2"/>
  <c r="C8" i="2"/>
  <c r="B8" i="2"/>
  <c r="A8" i="2"/>
  <c r="AF7" i="2"/>
  <c r="AE7" i="2"/>
  <c r="AD7" i="2"/>
  <c r="Z7" i="2"/>
  <c r="X7" i="2"/>
  <c r="W7" i="2"/>
  <c r="V7" i="2"/>
  <c r="U7" i="2"/>
  <c r="T7" i="2"/>
  <c r="S7" i="2"/>
  <c r="R7" i="2"/>
  <c r="Q7" i="2"/>
  <c r="P7" i="2"/>
  <c r="O7" i="2"/>
  <c r="N7" i="2"/>
  <c r="I7" i="2"/>
  <c r="H7" i="2"/>
  <c r="G7" i="2"/>
  <c r="F7" i="2"/>
  <c r="D7" i="2"/>
  <c r="C7" i="2"/>
  <c r="B7" i="2"/>
  <c r="A7" i="2"/>
  <c r="AF6" i="2"/>
  <c r="AE6" i="2"/>
  <c r="AD6" i="2"/>
  <c r="AC6" i="2"/>
  <c r="AB6" i="2"/>
  <c r="Q6" i="2"/>
  <c r="P6" i="2"/>
  <c r="O6" i="2"/>
  <c r="N6" i="2"/>
  <c r="I6" i="2"/>
  <c r="H6" i="2"/>
  <c r="G6" i="2"/>
  <c r="F6" i="2"/>
  <c r="D6" i="2"/>
  <c r="C6" i="2"/>
  <c r="B6" i="2"/>
  <c r="A6" i="2"/>
  <c r="AF5" i="2"/>
  <c r="AE5" i="2"/>
  <c r="AD5" i="2"/>
  <c r="AC5" i="2"/>
  <c r="AB5" i="2"/>
  <c r="Q5" i="2"/>
  <c r="P5" i="2"/>
  <c r="O5" i="2"/>
  <c r="N5" i="2"/>
  <c r="I5" i="2"/>
  <c r="H5" i="2"/>
  <c r="G5" i="2"/>
  <c r="F5" i="2"/>
  <c r="D5" i="2"/>
  <c r="C5" i="2"/>
  <c r="B5" i="2"/>
  <c r="A5" i="2"/>
  <c r="AH4" i="2"/>
  <c r="AF4" i="2"/>
  <c r="AE4" i="2"/>
  <c r="AD4" i="2"/>
  <c r="AA4" i="2"/>
  <c r="Z4" i="2"/>
  <c r="Y4" i="2"/>
  <c r="X4" i="2"/>
  <c r="W4" i="2"/>
  <c r="V4" i="2"/>
  <c r="U4" i="2"/>
  <c r="T4" i="2"/>
  <c r="S4" i="2"/>
  <c r="R4" i="2"/>
  <c r="Q4" i="2"/>
  <c r="P4" i="2"/>
  <c r="O4" i="2"/>
  <c r="N4" i="2"/>
  <c r="I4" i="2"/>
  <c r="H4" i="2"/>
  <c r="G4" i="2"/>
  <c r="F4" i="2"/>
  <c r="D4" i="2"/>
  <c r="C4" i="2"/>
  <c r="B4" i="2"/>
  <c r="A4" i="2"/>
  <c r="AH3" i="2"/>
  <c r="AG3" i="2"/>
  <c r="AF3" i="2"/>
  <c r="AE3" i="2"/>
  <c r="AD3" i="2"/>
  <c r="Z3" i="2"/>
  <c r="X3" i="2"/>
  <c r="W3" i="2"/>
  <c r="V3" i="2"/>
  <c r="U3" i="2"/>
  <c r="T3" i="2"/>
  <c r="S3" i="2"/>
  <c r="R3" i="2"/>
  <c r="Q3" i="2"/>
  <c r="P3" i="2"/>
  <c r="O3" i="2"/>
  <c r="N3" i="2"/>
  <c r="I3" i="2"/>
  <c r="H3" i="2"/>
  <c r="G3" i="2"/>
  <c r="F3" i="2"/>
  <c r="D3" i="2"/>
  <c r="C3" i="2"/>
  <c r="B3" i="2"/>
  <c r="A3" i="2"/>
  <c r="AF2" i="2"/>
  <c r="AE2" i="2"/>
  <c r="AD2" i="2"/>
  <c r="Z2" i="2"/>
  <c r="X2" i="2"/>
  <c r="W2" i="2"/>
  <c r="V2" i="2"/>
  <c r="U2" i="2"/>
  <c r="T2" i="2"/>
  <c r="S2" i="2"/>
  <c r="R2" i="2"/>
  <c r="Q2" i="2"/>
  <c r="P2" i="2"/>
  <c r="O2" i="2"/>
  <c r="N2" i="2"/>
  <c r="I2" i="2"/>
  <c r="H2" i="2"/>
  <c r="G2" i="2"/>
  <c r="F2" i="2"/>
  <c r="D2" i="2"/>
  <c r="C2" i="2"/>
  <c r="B2" i="2"/>
  <c r="A2" i="2"/>
  <c r="AO1" i="2"/>
  <c r="AN1" i="2"/>
  <c r="AM1" i="2"/>
  <c r="AL1" i="2"/>
  <c r="AK1" i="2"/>
  <c r="AJ1" i="2"/>
  <c r="AI1" i="2"/>
  <c r="AH1" i="2"/>
  <c r="AG1" i="2"/>
  <c r="AF1" i="2"/>
  <c r="AE1" i="2"/>
  <c r="AD1" i="2"/>
  <c r="AC1" i="2"/>
  <c r="AB1" i="2"/>
  <c r="AA1" i="2"/>
  <c r="Z1" i="2"/>
  <c r="Y1" i="2"/>
  <c r="X1" i="2"/>
  <c r="W1" i="2"/>
  <c r="V1" i="2"/>
  <c r="U1" i="2"/>
  <c r="T1" i="2"/>
  <c r="S1" i="2"/>
  <c r="R1" i="2"/>
  <c r="Q1" i="2"/>
  <c r="P1" i="2"/>
  <c r="O1" i="2"/>
  <c r="N1" i="2"/>
  <c r="M1" i="2"/>
  <c r="L1" i="2"/>
  <c r="K1" i="2"/>
  <c r="J1" i="2"/>
  <c r="I1" i="2"/>
  <c r="H1" i="2"/>
  <c r="G1" i="2"/>
  <c r="F1" i="2"/>
  <c r="E1" i="2"/>
  <c r="D1" i="2"/>
  <c r="C1" i="2"/>
  <c r="B1" i="2"/>
  <c r="A1" i="2"/>
</calcChain>
</file>

<file path=xl/sharedStrings.xml><?xml version="1.0" encoding="utf-8"?>
<sst xmlns="http://schemas.openxmlformats.org/spreadsheetml/2006/main" count="1375" uniqueCount="438">
  <si>
    <t>Tijdstempel</t>
  </si>
  <si>
    <t>What type of organization are you affiliated with?
In case of several options, select the one you identify most with.</t>
  </si>
  <si>
    <t>What is your domain or area of expertise? 
In case of several roles, select the option you identify most with.</t>
  </si>
  <si>
    <t>Country of employment or study?</t>
  </si>
  <si>
    <t>Wat is your age?</t>
  </si>
  <si>
    <t>Which Mmmonk IIIF Workshop did you attend?</t>
  </si>
  <si>
    <t>Were you aware of the existence of IIIF before you registered for the Mmmonk IIIF Workshop?</t>
  </si>
  <si>
    <t>Beyond being simply aware of its existence, did you have any prior knowledge about IIIF  before you registered for the Mmmonk IIIF Workshop?</t>
  </si>
  <si>
    <t>How did you learn about IIIF before the Mmmonk IIIF Workshop?</t>
  </si>
  <si>
    <t>If you learned about IIIF by word of mouth before the Mmmonk IIIF Workshop: who introduced you?</t>
  </si>
  <si>
    <t>If you learned about IIIF through a workshop (prior to the Mmmonk IIIF Workshop), which workshop did you attend?</t>
  </si>
  <si>
    <t xml:space="preserve">If you learned about IIIF by yourself, which sources did you use? </t>
  </si>
  <si>
    <t xml:space="preserve">Can you briefly explain in your own words what IIIF is? </t>
  </si>
  <si>
    <t>After attending the workshop, did you intend to apply the IIIF tips and tricks from the workshop?</t>
  </si>
  <si>
    <t xml:space="preserve">Which tool or application demonstrated in the workshop seemed most useful or promising for your work?
For a quick reminder of what we've covered, go to https://www.mmmonk.be/en/about-iiif/workshops. </t>
  </si>
  <si>
    <t>Did you effectively start using IIIF (more) after attending the Mmmonk IIIF Workshop?</t>
  </si>
  <si>
    <t>Which tools or applications did you start using?</t>
  </si>
  <si>
    <t>Did you apply the knowledge gained in the workshop in any other way?</t>
  </si>
  <si>
    <t>What is your main reason or motivation for using IIIF?
You will be able to add other reasons in the following question. [Allows me to do things I wouldn't be able to do otherwise, e.g. comparing objects]</t>
  </si>
  <si>
    <t>What is your main reason or motivation for using IIIF?
You will be able to add other reasons in the following question. [Save space on my local drive or in my cloud]</t>
  </si>
  <si>
    <t>What is your main reason or motivation for using IIIF?
You will be able to add other reasons in the following question. [Better viewers than institutional viewers]</t>
  </si>
  <si>
    <t>What is your main reason or motivation for using IIIF?
You will be able to add other reasons in the following question. [It's mandatory, e.g. I participate in a collaborative project that uses IIIF, I have to create a guided viewing as part of the curriculum… ]</t>
  </si>
  <si>
    <t>What is your main reason or motivation for using IIIF?
You will be able to add other reasons in the following question. [Reduce carbon footprint]</t>
  </si>
  <si>
    <t>Do you have other reasons for using IIIF?</t>
  </si>
  <si>
    <t>Do you find it easy to find IIIF manifests URLs?
Quick reminder: The IIIF manifest URL is the URL you copy and paste in order to import the digital data for an object into a tool or application.</t>
  </si>
  <si>
    <t>Do you have any ideas or recommendations to make it easier to find IIIF manifest URLs?</t>
  </si>
  <si>
    <t>What is your main reason for not using IIIF?</t>
  </si>
  <si>
    <t>What is the key element of change you would need to see before you would start using IIIF for your work?</t>
  </si>
  <si>
    <t>What aspect of the workshop did you like most? 
What makes this workshop a succes? This can be about methodology, communication, format, ...</t>
  </si>
  <si>
    <t>What aspect of the workshop did you like the least?
What do we need to change to improve the impact of our workshop?</t>
  </si>
  <si>
    <t>Have you taken other training or sought other information to gain knowledge about IIIF?</t>
  </si>
  <si>
    <t>If so, which ?</t>
  </si>
  <si>
    <t>Is there anything else you would like to share with us?</t>
  </si>
  <si>
    <t>Supporting organisation or service provider</t>
  </si>
  <si>
    <t>Communication</t>
  </si>
  <si>
    <t>Belgium</t>
  </si>
  <si>
    <t>35-44</t>
  </si>
  <si>
    <t>meemoo, Flemish institute for archives, 2023-12-14</t>
  </si>
  <si>
    <t>Yes</t>
  </si>
  <si>
    <t>IIIF is implemented by my institution, By a project, By a community group</t>
  </si>
  <si>
    <t>IIIF is a set of standards used to share images, audio and/or video, beyond institutional borders. IIIF images can be implemented in multiple websites or other applications, without loosing the context of metadata (author/artist, year, title, license, etc.).</t>
  </si>
  <si>
    <t>Create a virtual tour in a.o. Exhibit</t>
  </si>
  <si>
    <t>Yes (or I have specific plans to use it in the future)</t>
  </si>
  <si>
    <t>Compare items in the Mirador Viewer</t>
  </si>
  <si>
    <t>No</t>
  </si>
  <si>
    <t>Neutral</t>
  </si>
  <si>
    <t>Agree</t>
  </si>
  <si>
    <t>Strongly agree</t>
  </si>
  <si>
    <t>Disagree</t>
  </si>
  <si>
    <t>Combining images in IIIF from several museum collections on one collection website.</t>
  </si>
  <si>
    <t xml:space="preserve">It would be easier if institutions all used the same IIIF-icon to show the available manifests on their website, but I understand from an aesthetic point of view that institutions don't want to use logos on collection pages. </t>
  </si>
  <si>
    <t xml:space="preserve">The format of the introductions by Evelien and the trial-and-error of the participants afterwards, supported by very useful and easy to find links.  </t>
  </si>
  <si>
    <t>None; maybe a bit more time to try more than one Exhibit format?</t>
  </si>
  <si>
    <t>Digitization</t>
  </si>
  <si>
    <t>25-34</t>
  </si>
  <si>
    <t>IIIF is implemented by my institution, By a project</t>
  </si>
  <si>
    <t>test</t>
  </si>
  <si>
    <t>Embed a viewer on a web page</t>
  </si>
  <si>
    <t>Haven't had the time or occasion yet</t>
  </si>
  <si>
    <t>MMMONK website (https://www.mmmonk.be), website of meemoo (https://meemoo.be)</t>
  </si>
  <si>
    <t>Word of mouth</t>
  </si>
  <si>
    <t>Colleague</t>
  </si>
  <si>
    <t>IIIF is a standardized way of making images accessible to a broad audience and for different applications. It is also open source and community-driven.</t>
  </si>
  <si>
    <t>Yes, as inspiration for a project with IIIF</t>
  </si>
  <si>
    <t>My organisation uses it on one platform and is planning to use it elsewhere too.</t>
  </si>
  <si>
    <t>It depends on the subject matter and collection. Generally speaking, it's not very hard, but for some less tech-savy users, it is probably a little daunting.</t>
  </si>
  <si>
    <t>Depends on the goal of using it. I think it's advisable to limit the copying and pasting of URLs to a minimum for most users. Going directly to a viewer, where details are highlighted, a tour is made or a quiz is shown is an extremely user friendly way of using IIIF, and it still allows for some 'freer' browsing, zooming and discovery.</t>
  </si>
  <si>
    <t>The format and presentation were very nice. I particularly liked how Evelien Hauwaerts guided us through. The group was very diverse and some were well-acquainted with IIIF, others were not. The entire workshop was in-depth but light-footed and I think everyone felt they had learnt something (or a lot).</t>
  </si>
  <si>
    <t>Nothing in particular. I would like to follow another workshop with a more specific focus (like storytelling), now that I have a broad grasp of the concept and possibilities. But the workshop was an excellent introduction.</t>
  </si>
  <si>
    <t>Keep on keeping on!</t>
  </si>
  <si>
    <t>Data management</t>
  </si>
  <si>
    <t>Word of mouth, IIIF is implemented by my institution, By a project, By a conference, By a training other than the Mmmonk IIIF workshop, In an article or other publication</t>
  </si>
  <si>
    <t>een API protocol om beeldmateriaal gestandaardiseerd uit te wisselen</t>
  </si>
  <si>
    <t>Een concrete context of project waarin het toegepast moet worden. Maw, een concrete aanleiding om het te gebruiken.</t>
  </si>
  <si>
    <t>De aanpak/methologie</t>
  </si>
  <si>
    <t>Het feit dat sommige applicaties niet naar behoren werkte</t>
  </si>
  <si>
    <t>IIIF Fridays of the IIIF Collegagroep Vlaanderen en Nederland</t>
  </si>
  <si>
    <t>Teaching</t>
  </si>
  <si>
    <t>A standard to share and integrate images across specific applications</t>
  </si>
  <si>
    <t>Share detail on image with Universal Viewer, Create a virtual tour in a.o. Exhibit</t>
  </si>
  <si>
    <t>Yes, I promoted IIIF to researchers, colleagues, students and/or external stakeholders</t>
  </si>
  <si>
    <t>No opinion</t>
  </si>
  <si>
    <t>The immediate application of the possibilities</t>
  </si>
  <si>
    <t>/</t>
  </si>
  <si>
    <t>Een manier om efficiënt om te gaan met digitale beelden die op verschillende plekken worden bewaard: uitwisseling, samenbrengen, metadata bekijken en vergelijken, ...</t>
  </si>
  <si>
    <t>the need for my work to share images</t>
  </si>
  <si>
    <t>I liked the format the most. The participants were activated to find manifests and to try different viewers themselves.</t>
  </si>
  <si>
    <t>If possible, add more specific cases for IIIF in line with the work of the participants.</t>
  </si>
  <si>
    <t>IIIF website (https://iiif.io/), MMMONK website (https://www.mmmonk.be), website of meemoo (https://meemoo.be)</t>
  </si>
  <si>
    <t>Museum</t>
  </si>
  <si>
    <t>ICT</t>
  </si>
  <si>
    <t>Brazil</t>
  </si>
  <si>
    <t>IIIF Consortium – Train the Trainer, 2023-11-30</t>
  </si>
  <si>
    <t>By a project</t>
  </si>
  <si>
    <t>An interoperability specification and a community developing solutions that benefit from it</t>
  </si>
  <si>
    <t>Not available for the specific items I need</t>
  </si>
  <si>
    <t>Adoption of IIIF by my country's institutions</t>
  </si>
  <si>
    <t>Detailed and informative</t>
  </si>
  <si>
    <t>Could be more dynamic</t>
  </si>
  <si>
    <t>IIIF website (https://iiif.io/), IIIF consortium 5-day training (https://iiif.io/get-started/training/online-training/), Awesome IIIF GitHub repository (https://github.com/IIIF/awesome-iiif), IIIF slack</t>
  </si>
  <si>
    <t>University (faculty)</t>
  </si>
  <si>
    <t>Student</t>
  </si>
  <si>
    <t>18-24</t>
  </si>
  <si>
    <t>Library of Congress, Dr. Fenella France, 2024-03-14</t>
  </si>
  <si>
    <t>No, I had never heard the IIIF acronym or seen/noticed the IIIF logo before I registered for the Mmmonk IIIF Workshop.</t>
  </si>
  <si>
    <t xml:space="preserve">IIIF is a program which enables the rendering of high quality digital images and audio files from different servers and institutions in a consistent manner. It is thus more user friendly, as it does not necessitate the opening of multiple browsers or programs etc. </t>
  </si>
  <si>
    <t xml:space="preserve">The interactivity made it a successful learning experience. </t>
  </si>
  <si>
    <t>Mainly it being online, though the international audience necessitates it.</t>
  </si>
  <si>
    <t>MMMONK website (https://www.mmmonk.be)</t>
  </si>
  <si>
    <t>The workshop opened a whole new world for me, and I definitely intend to use IIIF in the future.</t>
  </si>
  <si>
    <t>Library (including university library)</t>
  </si>
  <si>
    <t>Collection management</t>
  </si>
  <si>
    <t>Estonia</t>
  </si>
  <si>
    <t>By a newsletter, By a community group</t>
  </si>
  <si>
    <t>Protocol to exchange data and files, and community that builds it.</t>
  </si>
  <si>
    <t>I was using it already before the workshop.</t>
  </si>
  <si>
    <t>already do :)</t>
  </si>
  <si>
    <t>Putting myself in the position of a student and trying to keep up with the pace of the workshop. It was an interesting perspective.</t>
  </si>
  <si>
    <t>It's been awhile since the workshop, but I don't remember any negative feelings. I guess there was noting distinctively difficult.</t>
  </si>
  <si>
    <t>IIIF website (https://iiif.io/), IIIF consortium 5-day training (https://iiif.io/get-started/training/online-training/), IIIF consortium YouTube channel (https://www.youtube.com/@IIIF-Consortium), IIIF slack</t>
  </si>
  <si>
    <t>Conservation (restauration)</t>
  </si>
  <si>
    <t>Mmmonk School 2022, 2022-12-16</t>
  </si>
  <si>
    <t>IIIF is implemented by my institution</t>
  </si>
  <si>
    <t>An international standard for sharing images and metadata with a lot of possibilities for different viewers</t>
  </si>
  <si>
    <t>Share detail on image with Universal Viewer, Compare items in the Mirador Viewer, Create a virtual tour in a.o. Exhibit, Embed a viewer on a web page, Download an image using Universal Viewer</t>
  </si>
  <si>
    <t xml:space="preserve">The complex workings of IIIF where very clearly explained without using difficult language and because we immediately practiced the different possibilities became very clear. </t>
  </si>
  <si>
    <t xml:space="preserve">No comment </t>
  </si>
  <si>
    <t>IIIF website (https://iiif.io/), IIIF consortium YouTube channel (https://www.youtube.com/@IIIF-Consortium), IIIF Fridays of the IIIF Collegagroep Vlaanderen en Nederland, MMMONK website (https://www.mmmonk.be)</t>
  </si>
  <si>
    <t>55-64</t>
  </si>
  <si>
    <t>Ghent University, Latin Literature, Prof. Wim Verbaal, 2022-12-06</t>
  </si>
  <si>
    <t>Digital reproducing of manuscripts of the highest quality</t>
  </si>
  <si>
    <t>Share detail on image with Universal Viewer, Compare items in the Mirador Viewer, Embed a viewer on a web page, Download an image using Universal Viewer</t>
  </si>
  <si>
    <t>The hands-on communication</t>
  </si>
  <si>
    <t>Actually no aspect fell out negatively</t>
  </si>
  <si>
    <t>45-54</t>
  </si>
  <si>
    <t>Musea Brugge, 2024-01-30</t>
  </si>
  <si>
    <t>een framework om beelden in hoge kwaliteit makkelijk in een viewer te plaatsen en te delen</t>
  </si>
  <si>
    <t>Compare items in the Mirador Viewer, Embed a viewer on a web page, Finding IIIF manifests using DetektIIIF</t>
  </si>
  <si>
    <t>high quality of the images</t>
  </si>
  <si>
    <t>the practical excercies</t>
  </si>
  <si>
    <t>more time?</t>
  </si>
  <si>
    <t>IIIF website (https://iiif.io/), IIIF Fridays of the IIIF Collegagroep Vlaanderen en Nederland, MMMONK website (https://www.mmmonk.be), website of meemoo (https://meemoo.be)</t>
  </si>
  <si>
    <t>great project, keep up the good work</t>
  </si>
  <si>
    <t>A highly efficiënt (digital space saving) way to distribute visual data (from collection items) between institutions and a useful tool for almost effortlessly processing these images into basic or complex digital exhibitions.</t>
  </si>
  <si>
    <t>Finding IIIF manifests using DetektIIIF</t>
  </si>
  <si>
    <t>N/A</t>
  </si>
  <si>
    <t>The time to play around and test for ourselves.</t>
  </si>
  <si>
    <t>Maybe also a workshop for more advances users?</t>
  </si>
  <si>
    <t>Great job at promoting IIIF, I enjoyed the workshop very much!</t>
  </si>
  <si>
    <t xml:space="preserve">IIIF are open standards to show images (like manuscripts, papers, artwork, ...) to the public with relevant metadata. People can zoom in on those images, you can use the images for storytelling, education, ... </t>
  </si>
  <si>
    <t>Download an image using Universal Viewer</t>
  </si>
  <si>
    <t>Yes, as input for the design of web based applications</t>
  </si>
  <si>
    <t>The balance between theory and practical use of IIIF in the workshop itself</t>
  </si>
  <si>
    <t>Framework for sharing high-resolution images using pyramid tiles to support efficient zooming</t>
  </si>
  <si>
    <t>Share detail on image with Universal Viewer</t>
  </si>
  <si>
    <t>Strongly disagree</t>
  </si>
  <si>
    <t>efficiency, great option for public facing collection window</t>
  </si>
  <si>
    <t>depends on which institution is publishing the IIIF manifest</t>
  </si>
  <si>
    <t>accessibility for people who are yet unfamiliar with the technology</t>
  </si>
  <si>
    <t>-</t>
  </si>
  <si>
    <t>IIIF website (https://iiif.io/), Awesome IIIF GitHub repository (https://github.com/IIIF/awesome-iiif), IIIF Fridays of the IIIF Collegagroep Vlaanderen en Nederland, website of meemoo (https://meemoo.be)</t>
  </si>
  <si>
    <t>Ghent University, Latin Palaeography, Prof. Els De Paermentier, 2023-12-12</t>
  </si>
  <si>
    <t xml:space="preserve">IIIF is a way to make a code or 'manifest' to encrypt a digitized manuscript, painting, picture (what can not be transferred to plain text without loss of information). With that code, such document can be made more easily accessible, it can be displayed on a website without going through the hassle of the different viewing methods different libraries or archives use. </t>
  </si>
  <si>
    <t>Its uniformity puts the focus on the document, not on the viewing program.</t>
  </si>
  <si>
    <t>big button</t>
  </si>
  <si>
    <t xml:space="preserve">The integration of the course material (the different hands and scripts) made it very concrete. The practical part, testing out the different programs (such as Mirador), helped to understand what IIIF was much better. Also the merch at the end was a very nice thing to receive. ;) </t>
  </si>
  <si>
    <t>It was all very clear, would recommend without change!</t>
  </si>
  <si>
    <t>Keep up the good work.</t>
  </si>
  <si>
    <t>Archives</t>
  </si>
  <si>
    <t>Education and outreach (in a cultural heritage institution)</t>
  </si>
  <si>
    <t>A standard to promote the correct re-use of visual material</t>
  </si>
  <si>
    <t>it has to do with legal restrictions (author rights) on the materiaal we provide on our password protected website</t>
  </si>
  <si>
    <t>examples and exercises</t>
  </si>
  <si>
    <t>nothing</t>
  </si>
  <si>
    <t>Collegagroep Handschriften, Vlaamse Erfgoedbibliotheken, 2023-06-01</t>
  </si>
  <si>
    <t>Comparing images, that are enriched with metadata</t>
  </si>
  <si>
    <t>time</t>
  </si>
  <si>
    <t>communication</t>
  </si>
  <si>
    <t>it gives just a first impression, no solid training</t>
  </si>
  <si>
    <t>Word of mouth, By a project, I learned it independently</t>
  </si>
  <si>
    <t>IIIF specifications</t>
  </si>
  <si>
    <t>A standardised and documenten protocol to share online digital reproductions of objects (books, paintings). The common protocol makes it possible to develop different images viewers and tools that use the metadata, so that resources from different servers can be easily combined and tools and solutions can easily be re-used.</t>
  </si>
  <si>
    <t>IIIF is an expensive technology that is only available in large institutions and/or through commercial providers.</t>
  </si>
  <si>
    <t>Meemoo should provide an affordable service for the whole sector in Flanders (not just for its own clients).</t>
  </si>
  <si>
    <t>Different tools/viewers are used and demonstrated.</t>
  </si>
  <si>
    <t>It gave the incorrect impression that the use of IIIF helps with link rot. Unfortunately, it doesn't, as there is nothing intrinsic in IIIF that addresses this problem. One would hope that large institutions think about this when they change their URLs, but unfortunately from my own experience URLs to viewers or IIIF manifests are no more stable than many other online resources.</t>
  </si>
  <si>
    <t>Research</t>
  </si>
  <si>
    <t>A protocol to digitize and refer to digitized images (manuscripts)</t>
  </si>
  <si>
    <t>Hands on: explanation and doing it immediately ourselves; great teacher!</t>
  </si>
  <si>
    <t>don't change anything</t>
  </si>
  <si>
    <t>Switzerland</t>
  </si>
  <si>
    <t>Mmmonk School 2023, 2023-12-01</t>
  </si>
  <si>
    <t>A more convenient and efficient way to share and compare specific images/points of interest in manuscripts and prints</t>
  </si>
  <si>
    <t>Share detail on image with Universal Viewer, Compare items in the Mirador Viewer</t>
  </si>
  <si>
    <t>Hands on practical approach/learning by doing</t>
  </si>
  <si>
    <t>Maybe give more room to work with manuscripts/prints you are working on atm</t>
  </si>
  <si>
    <t>University - PhD student</t>
  </si>
  <si>
    <t>United Kingdom</t>
  </si>
  <si>
    <t>I learned it independently</t>
  </si>
  <si>
    <t>Web search</t>
  </si>
  <si>
    <t>It's a protocol for sharing digitised images, which can then be captured by users to compare, put in collections, annotate etc.</t>
  </si>
  <si>
    <t>In my personal study but not to showcase anything to others</t>
  </si>
  <si>
    <t>The exercises which gave us the opportunity to trial everything we learned immediately</t>
  </si>
  <si>
    <t>Nothing, it was a brilliant workshop.</t>
  </si>
  <si>
    <t>IIIF is a system for data that everyone anywhere can read und use: durability is a high standard</t>
  </si>
  <si>
    <t>I like it all because it gives me  information of what is possible. I did't know it.</t>
  </si>
  <si>
    <t>I want to thank you for the Mmmonk school and please, do it again at the end of the year.</t>
  </si>
  <si>
    <t>newsletter</t>
  </si>
  <si>
    <t xml:space="preserve">IIIF is the possibility to present together high quality images of cultural object kept in several places </t>
  </si>
  <si>
    <t>Share detail on image with Universal Viewer, Download an image using Universal Viewer</t>
  </si>
  <si>
    <t>hands on work</t>
  </si>
  <si>
    <t>Basics of IIIF as I knew them already</t>
  </si>
  <si>
    <t>MMMONK website (https://www.mmmonk.be), website of meemoo (https://meemoo.be), Studienamiddag digitale storytelling IIIF-tools</t>
  </si>
  <si>
    <t>Latvia</t>
  </si>
  <si>
    <t>Share detail on image with Universal Viewer, Compare items in the Mirador Viewer, Create a virtual tour in a.o. Exhibit, Embed a viewer on a web page, Download an image using Universal Viewer, Finding IIIF manifests using DetektIIIF</t>
  </si>
  <si>
    <t>IIIF website (https://iiif.io/), IIIF consortium 5-day training (https://iiif.io/get-started/training/online-training/), IIIF consortium YouTube channel (https://www.youtube.com/@IIIF-Consortium), Awesome IIIF GitHub repository (https://github.com/IIIF/awesome-iiif), IIIF Fridays of the IIIF Collegagroep Vlaanderen en Nederland, MMMONK website (https://www.mmmonk.be), website of meemoo (https://meemoo.be)</t>
  </si>
  <si>
    <t>By a project, In an article or other publication</t>
  </si>
  <si>
    <t>Network of Digital Medievalist</t>
  </si>
  <si>
    <t>International standard for identifying, enclosing and managing digital images of resources</t>
  </si>
  <si>
    <t>Share detail on image with Universal Viewer, Compare items in the Mirador Viewer, Download an image using Universal Viewer</t>
  </si>
  <si>
    <t xml:space="preserve">Hands-on practical tasks </t>
  </si>
  <si>
    <t>nothing in particular</t>
  </si>
  <si>
    <t>Vrijwilliger archiefwerking en geïnteresseerd in la uscripten</t>
  </si>
  <si>
    <t>Geen expertise</t>
  </si>
  <si>
    <t>75-84</t>
  </si>
  <si>
    <t>Ghent University Library, 2024-03-11</t>
  </si>
  <si>
    <t>Onderzoek en conservering van kwetsbare exemplaren</t>
  </si>
  <si>
    <t>Ik heb de workshop niet bijgewoond</t>
  </si>
  <si>
    <t>Heb de workshop niet bijgewoond en kan bijgevolg niet antwoorden</t>
  </si>
  <si>
    <t>Ik zal er niet mee in aanraking komen maar ben wel erg geinteresseerd</t>
  </si>
  <si>
    <t xml:space="preserve">Bij het lezen stuit ik soms op belangrijke collecties en manuscripten dan zou ik er meer over willen weten </t>
  </si>
  <si>
    <t>Inzicht verwerven over eventuele hulp</t>
  </si>
  <si>
    <t xml:space="preserve">Het ontdekken van belangrijke collecties </t>
  </si>
  <si>
    <t>York University, York's Centre for Medieval Studies, Dr. Hanna Vorholt, 2023-05-12</t>
  </si>
  <si>
    <t xml:space="preserve">It presents an international standard for how digital images (including of manuscripts) can be presented and shared. It works across institutions and different interfaces. </t>
  </si>
  <si>
    <t>Share detail on image with Universal Viewer, Compare items in the Mirador Viewer, Embed a viewer on a web page</t>
  </si>
  <si>
    <t xml:space="preserve">I liked the clarity of the instructions and the opportunity to work through individual examples, which helped me implement the learning straight away. The workshop leader identified and explained all those aspects about IIIF that are most immediately useful in every-day scenarios: she made it immediately obvious how IIIF can be relevant to research, teaching and outreach, but also explained pragmatically how to go about impementing it, what pitfalls to avoid and what tricks to use, which was great. It turned something that initially appeared very complex and technical into something that we were able to use. I also want to highlight here the website as a great educational resource: this helped structure the workshop, but also enabled me to then refer back to it and follow up the learning and remind myself of the individual steps. </t>
  </si>
  <si>
    <t>n/a</t>
  </si>
  <si>
    <t>Thank you!</t>
  </si>
  <si>
    <t>United States</t>
  </si>
  <si>
    <t>Working with the IIIF community</t>
  </si>
  <si>
    <t>IIIF conference and working groups</t>
  </si>
  <si>
    <t>an open source platform to share mainly image based collections - interoperable and able to add functionality through various viewers</t>
  </si>
  <si>
    <t>TIME!</t>
  </si>
  <si>
    <t>well organized - good hands on examples</t>
  </si>
  <si>
    <t>nothing I can think of other than time restrictions</t>
  </si>
  <si>
    <t>IIIF website (https://iiif.io/), IIIF consortium 5-day training (https://iiif.io/get-started/training/online-training/), IIIF slack</t>
  </si>
  <si>
    <t>huge thanks for working with my staff!</t>
  </si>
  <si>
    <t>A way to standardize the delivery of images online.</t>
  </si>
  <si>
    <t>Not applicable in my job.</t>
  </si>
  <si>
    <t>Nothing.</t>
  </si>
  <si>
    <t xml:space="preserve">Very hands-on with examples you can immediately apply yourself. </t>
  </si>
  <si>
    <t xml:space="preserve">It was online. </t>
  </si>
  <si>
    <t>Austria</t>
  </si>
  <si>
    <t>IIIF is short for International Image Interoperability Framework. Via uniform packaging (manifest) images can be taken form isolated local servers and be made inter-operable and universally readable to be viewed and worked with through sites like Mirador.</t>
  </si>
  <si>
    <t>Interdisciplinary work.
Expert knowledge.
Mix of theoretical and practical use.
Useful, realistic examples.
Option to re-watch.</t>
  </si>
  <si>
    <t xml:space="preserve">Open source data used by archives, libraries and musea to manage and exchange digital imaging and metadata of their own collection. </t>
  </si>
  <si>
    <t>All of it. It was really interesting and exciting.</t>
  </si>
  <si>
    <t>Preservation Science</t>
  </si>
  <si>
    <t xml:space="preserve">IIIF is a kind of code(?) that allows for images and metadata to be easily shared across multiple platforms. The images and metadata are stored in one digital location but through IIIF, can be accessed elsewhere without the need for duplication. </t>
  </si>
  <si>
    <t>More widespread use of IIIF so that I would not have to mix IIIF and non-IIIF items</t>
  </si>
  <si>
    <t xml:space="preserve">I liked most the hands-on activities embedded into the workshop because I feel this ensures that participants walk away with hands-on skills by the end of the workshop. I also enjoyed the smallness of the workshop so that people could ask questions and get personalized attention. </t>
  </si>
  <si>
    <t xml:space="preserve">I understand that this workshop is meant to be for beginners, but if more background information about code/what a manifest actually is could be given, I think that would help improve the completeness of the information provided. </t>
  </si>
  <si>
    <t>een standaard die het ontsluiten en uitwisselen van beeldmateriaal beschrijft</t>
  </si>
  <si>
    <t>op dit moment binnen mijn job is enkel de theoretische kennis noodzakelijk</t>
  </si>
  <si>
    <t>dat zal afhangen van de verdere projectplanning</t>
  </si>
  <si>
    <t>de praktijkgerichte oefeningen waarmee je meteen aan de slag kan</t>
  </si>
  <si>
    <t>niet meteen verandering nodig</t>
  </si>
  <si>
    <t xml:space="preserve">IIIF website (https://iiif.io/), MMMONK website (https://www.mmmonk.be), </t>
  </si>
  <si>
    <t>Germany</t>
  </si>
  <si>
    <t>IIIF is a project that offers a standard for the digital publication of images. It also coorperates with several academic institutions.</t>
  </si>
  <si>
    <t xml:space="preserve">It would just be the right occasion. </t>
  </si>
  <si>
    <t xml:space="preserve">I liked the fact that, while the workshop was online and you could ask questions after the presentation, the recordings of the talks were still published. This way I could rewatch the talks in case I had missed something and actually recommend them to some peers and even a tutor at my university! I also really like the introductory approach, so that you can even listen to some talks if you have not yet worked with the manuscripts a lot. </t>
  </si>
  <si>
    <t xml:space="preserve">The fact that it used Miscrosoft Teams, which I feel is used less than Zoom (however, this might be a very subjective impression). </t>
  </si>
  <si>
    <t>France</t>
  </si>
  <si>
    <t xml:space="preserve">An economical way of recording data concernign digitised manuscripts / concerning dgital images. By encoding the data for the digitisation in a json file which is a text file it is way easier to share and link to various parts of the digitisation without having the exchange heavy image files and without have to download anything. </t>
  </si>
  <si>
    <t>Share detail on image with Universal Viewer, Create a virtual tour in a.o. Exhibit, Finding IIIF manifests using DetektIIIF</t>
  </si>
  <si>
    <t xml:space="preserve">With some libraries it is very easy and evident; with others there is no IIIF manifest to be found. </t>
  </si>
  <si>
    <t xml:space="preserve">Let us start by giving every digitised manuscript an IIIF manifest. </t>
  </si>
  <si>
    <t xml:space="preserve">The hands on experience and the possibility ot immediately see how one can apply and use IIIF for the purposes of their project, job, research. </t>
  </si>
  <si>
    <t xml:space="preserve">I made a short Exhibit but I think no other attendee did; it would have been nicer for this to be a shared experience. Also since for my work and for the trial Exhibit I used manuscripts that are not part of the libraries participating in the Mmmonk (I am a Byzantinist and this motivated the choice of manuscripts), I learned that what I did cannot be listed as an example of an outcome from the workshop. I understand the reasons - it just means that the feeling of not having a shared experience was further underlined. </t>
  </si>
  <si>
    <t>Thank you for the workshop - it was really great; I learned from it and I was lucky I could join it as it was hybrid. Many thanks!</t>
  </si>
  <si>
    <t>Italy</t>
  </si>
  <si>
    <t>IIIF is implemented by my institution, By a project, By a conference, By a training other than the Mmmonk IIIF workshop</t>
  </si>
  <si>
    <t>Teacher</t>
  </si>
  <si>
    <t xml:space="preserve">Storia e Filologia del manoscritto e del libro antico, università di Napoli Federico II </t>
  </si>
  <si>
    <t>A tool to recollect and compare images</t>
  </si>
  <si>
    <t xml:space="preserve">A scholarship for a manuscript project </t>
  </si>
  <si>
    <t xml:space="preserve">Mirador viewer </t>
  </si>
  <si>
    <t xml:space="preserve">Explanations too quick for my English </t>
  </si>
  <si>
    <t xml:space="preserve">MMMONK website (https://www.mmmonk.be), Illuminated Dante project </t>
  </si>
  <si>
    <t>A possibility to collaborate in a project or sessions in other languages</t>
  </si>
  <si>
    <t>IIIF is implemented by my institution, I learned it independently</t>
  </si>
  <si>
    <t>It is an interoperable system of image viewers.</t>
  </si>
  <si>
    <t>I need a project to work on</t>
  </si>
  <si>
    <t>Trying out different viewers.</t>
  </si>
  <si>
    <t>The time frame was too small.</t>
  </si>
  <si>
    <t>Columbia University, Historical Musicology, Prof. Susan Boynton, 2023-02-24</t>
  </si>
  <si>
    <t>Word of mouth, By a project, In an article or other publication</t>
  </si>
  <si>
    <t>international image operability framework enabling the study and capture of images using manifests that can be generated in multiple platforms and viewed in various viewers</t>
  </si>
  <si>
    <t>Compare items in the Mirador Viewer, Download an image using Universal Viewer</t>
  </si>
  <si>
    <t>finding a closer view of important details on the page not usually shown in reproductions</t>
  </si>
  <si>
    <t>each website should endeavor to communicate this information to all levels of users.</t>
  </si>
  <si>
    <t>The hands-on, graded series of tasks</t>
  </si>
  <si>
    <t>Sometimes there were connection problems, so one should figure out how to do it in a way that people do not encounter limitations to bandwidth (alternating tasks? helping each other and working together at the same time rather than all doing same task at the same time?)</t>
  </si>
  <si>
    <t>IIIF website (https://iiif.io/), MMMONK website (https://www.mmmonk.be)</t>
  </si>
  <si>
    <t>IIIF should advertise its events through scholarly societies such as the Medieval Academy of America and the International Center of Medieval Art, if it does not already do so.</t>
  </si>
  <si>
    <t>It has been some time but my understanding is that it as an open standard used across a number of international universities and libraries that allows for digitally displayed objects to be better displayed and used across platforms for exhibition, etc.</t>
  </si>
  <si>
    <t>Compare items in the Mirador Viewer, Create a virtual tour in a.o. Exhibit, Embed a viewer on a web page, Download an image using Universal Viewer</t>
  </si>
  <si>
    <t>Methodology was very useful, as I was taking a course with Susan Boynton that allowed IIIF to be put into practice. A tool like Mirador and its practical uses as Dr. Hauwaerts demonstrated in an easily communicated format allowed me to construct a very easily made and user-oriented Exhibit project that was not even the main subject of the presentation but which I took away from the presentation a great interest in.</t>
  </si>
  <si>
    <t>It has been a serious amount of time since, but considering how useful I found the information conveyed and up to ask Dr. Hauwaerts’s communication of the material, I cannot imagine there is anything I can add.</t>
  </si>
  <si>
    <t>IIIF website (https://iiif.io/), IIIF consortium YouTube channel (https://www.youtube.com/@IIIF-Consortium), MMMONK website (https://www.mmmonk.be)</t>
  </si>
  <si>
    <t>The only issue I have come across in my nearly two years using the IIIF standard was that I had some serious trouble with the speed of loading my Exhibit presentation, but I do not know if that is a solvable issue.</t>
  </si>
  <si>
    <t>Netherlands</t>
  </si>
  <si>
    <t>Art of Reading in the Middle Ages Conference, Europeana, National Library of Slovenia, 2022-06-22</t>
  </si>
  <si>
    <t>Word of mouth, IIIF is implemented by my institution, By a project</t>
  </si>
  <si>
    <t>A fast and easy way to share scans</t>
  </si>
  <si>
    <t>Compare items in the Mirador Viewer, Embed a viewer on a web page</t>
  </si>
  <si>
    <t>Depends on the institution</t>
  </si>
  <si>
    <t>Enthusiasm of the speakers</t>
  </si>
  <si>
    <t>x</t>
  </si>
  <si>
    <t>IIIF website (https://iiif.io/), Awesome IIIF GitHub repository (https://github.com/IIIF/awesome-iiif), IIIF Fridays of the IIIF Collegagroep Vlaanderen en Nederland</t>
  </si>
  <si>
    <t>65-74</t>
  </si>
  <si>
    <t>Library staff</t>
  </si>
  <si>
    <t>A protocol to share and view digital images outside single repositories</t>
  </si>
  <si>
    <t>demonstration of Universal Viewer (I was only familiar with Mirador Viewer)</t>
  </si>
  <si>
    <t>I was entirely satisfied with the workshop in Ljubljana</t>
  </si>
  <si>
    <t>No, thank you</t>
  </si>
  <si>
    <t>collection registration</t>
  </si>
  <si>
    <t>standardised format to exchange and present images and accompanying metadata</t>
  </si>
  <si>
    <t>is implemented by my institution</t>
  </si>
  <si>
    <t>integration in the library services platform</t>
  </si>
  <si>
    <t>hands-on exercises</t>
  </si>
  <si>
    <t>is was ok</t>
  </si>
  <si>
    <t xml:space="preserve">BIS Stage </t>
  </si>
  <si>
    <t xml:space="preserve">It is a system that allows the disclosing of the highest quality of images of works of art, the images are linked to the metadata which is all the information of the object. It makes it easier to share these images along with the required information for propre disclosing of the object. </t>
  </si>
  <si>
    <t xml:space="preserve">researching the use of IIIF on the museum collection disclosing webpages </t>
  </si>
  <si>
    <t xml:space="preserve">the exercises </t>
  </si>
  <si>
    <t xml:space="preserve">It was very informative </t>
  </si>
  <si>
    <t>Lithuania</t>
  </si>
  <si>
    <t>a very convenient way to present scanned image to the researcher</t>
  </si>
  <si>
    <t>yes, it was interesting and gave plenty of information; good presenters</t>
  </si>
  <si>
    <t>do not remember such thing</t>
  </si>
  <si>
    <t>Good luck, You are doing great job</t>
  </si>
  <si>
    <t>A framework which allows to view and work with images from different institutions on a single platform.</t>
  </si>
  <si>
    <t>Don't want to combine IIIF items and non-IIIF items</t>
  </si>
  <si>
    <t>I would need it to be able to deal with other formats (say pdf images).</t>
  </si>
  <si>
    <t>The demonstrations and practical examples were great.</t>
  </si>
  <si>
    <t>It was very good overall.</t>
  </si>
  <si>
    <t>I found the MMMONK website very user-friendly for people with no technical expertise.</t>
  </si>
  <si>
    <t>University (student)</t>
  </si>
  <si>
    <t>A shared network that allows cultural institutions to improve the quality of their digitized images and to provide more context on those images for (non-)experts visiting the institution's website.</t>
  </si>
  <si>
    <t>I was able to use some of the information shared by Dr. Reilly in my MA thesis.</t>
  </si>
  <si>
    <t>I liked that the speakers were excited to share their knowledge and that there was enough time for questions.</t>
  </si>
  <si>
    <t>I can't think of anything</t>
  </si>
  <si>
    <t>I would be interested in joining the IIIF slack or the collegagroep if possible.</t>
  </si>
  <si>
    <t>Self-employed</t>
  </si>
  <si>
    <t>Mmmonk School 2022 en 2023</t>
  </si>
  <si>
    <t>IIIF is a digital platform with clear accessibility and the ability to share digital images from books and manuscripts and other sources.</t>
  </si>
  <si>
    <t>It is not an everyday act for me so at first I was searching.</t>
  </si>
  <si>
    <t>The entire presentation is accurate: the blending of theory and practice, demonstration and communication.</t>
  </si>
  <si>
    <t>As a non-daily user of IIIF individual viewing during the workshop was less convenient due to the short time frame.</t>
  </si>
  <si>
    <t>Business company</t>
  </si>
  <si>
    <t>separate workshop IIIF 2023 May 11th IIIF in research and public outreach</t>
  </si>
  <si>
    <t>Eventbrite</t>
  </si>
  <si>
    <t>IIIF in research and public outreach</t>
  </si>
  <si>
    <t>A way to browse, track, collect and save relevant images from manuscripts, sometimes a bit complicated having to work trough other complicated tools when there are shortcuts.</t>
  </si>
  <si>
    <t>It's too technical</t>
  </si>
  <si>
    <t>Easy shortcuts and integrated tools such as Chronoscope by Mattias Mueller-Prove</t>
  </si>
  <si>
    <t>In May 2023 it was great to see the demo and then get the time to try ad practice it then and there.</t>
  </si>
  <si>
    <t>I found it a bit of a hassle working through external viewers: one tool should be enough to reach the goal. Focus is on the art in images and studying those, not having to be an expert in all separate viewers and external tools. Let's keep it simple and straight forward to lower the technical tresholds.</t>
  </si>
  <si>
    <t>In this kind of survey, it would be nice to be able to chose more than one answer always.
I liked the idea of the 5-day training, but costs held me back:
1) for now due to my personal situation
2) postponed until a better time with return on investment of time and money.</t>
  </si>
  <si>
    <t>It is a manifest that you can implement in a viewer that contains a high quality image with all its data that is connected to it.</t>
  </si>
  <si>
    <t>Compare items in the Mirador Viewer, Create a virtual tour in a.o. Exhibit, Embed a viewer on a web page</t>
  </si>
  <si>
    <t>the way we were allowed to practice during the session</t>
  </si>
  <si>
    <t>a standardized way to share heritage and museum collections in an interoperable way which can be linked and where tools and funtions can be build upon</t>
  </si>
  <si>
    <t>Annotate</t>
  </si>
  <si>
    <t>I'm starting a new job where I will have (more) time to experiment with IIIF</t>
  </si>
  <si>
    <t>hands-on</t>
  </si>
  <si>
    <t>it was short and nice</t>
  </si>
  <si>
    <t>Russia</t>
  </si>
  <si>
    <t>Actually, I cannot judge it properly, because I am not specialized in the field of Medieval Studies. But two sessions devoted to the description and interpretation of British and Latin medieval manuscripts were inspiring. A lot of information was given in a very interestingly.
An opportunity of asking question is a very good option, as well.</t>
  </si>
  <si>
    <t>No.</t>
  </si>
  <si>
    <t>Not yet.</t>
  </si>
  <si>
    <t>It is quite difficult to reply. Maybe, an opportunity for communication is the main advantage of the school.</t>
  </si>
  <si>
    <t>I cannot answer the question now.</t>
  </si>
  <si>
    <t>I would like to thank You for an activity.</t>
  </si>
  <si>
    <t>Triple-i F is a digital tool which provides a unified viewer (and code) for documents/manuscript which have been encoded within different formats by different libraries</t>
  </si>
  <si>
    <t>Share detail on image with Universal Viewer, Embed a viewer on a web page, Download an image using Universal Viewer</t>
  </si>
  <si>
    <t>The practical exercises and how theory can be put within practice, and how it can be done in a new and innovative way. Not just looking and downloading pictures taken from manuscripts, but how one is able to interact with them through the digital tools at hand (of which I had no idea)</t>
  </si>
  <si>
    <t>I cannot think of one!</t>
  </si>
  <si>
    <t>Infodesk</t>
  </si>
  <si>
    <t>IIIF is a tool to share images and annotations about it worldwide, without having to store the images yourself</t>
  </si>
  <si>
    <t>a bit of time</t>
  </si>
  <si>
    <t>the exercises</t>
  </si>
  <si>
    <t>A framework to display images and metadata in a way that is understandable across systems.</t>
  </si>
  <si>
    <t>Create a virtual tour in a.o. Exhibit, Embed a viewer on a web page</t>
  </si>
  <si>
    <t>Format of a workshop - best way to learn is hands-on</t>
  </si>
  <si>
    <t>Nothing in particular.</t>
  </si>
  <si>
    <t>IIIF is implemented by my institution, By a conference</t>
  </si>
  <si>
    <t>Standaard om digitale beelden te beheren, uit te wisselen en te gebruiken op een duurzame manier. Beelden van verschillende instellingen kunnen samengebracht worden in een uniforme omgeving om ze bijvoorbeeld te vergelijken.</t>
  </si>
  <si>
    <t>De praktische en creatieve oefeningen</t>
  </si>
  <si>
    <t>Misschien af en toe de groep in kleinere groepjes verdelen om ook mensen te laten samenwerken aan een creatieve opdracht</t>
  </si>
  <si>
    <t>IIIF website (https://iiif.io/), website of meemoo (https://meemoo.be)</t>
  </si>
  <si>
    <t>A tool to show and compare images.</t>
  </si>
  <si>
    <t>A project that uses images.</t>
  </si>
  <si>
    <t>Video that show how use the tool.</t>
  </si>
  <si>
    <t>Explanations in English too quick.</t>
  </si>
  <si>
    <t>Università degli Studi di Napoli Federico II</t>
  </si>
  <si>
    <t>Give a guide in more languages.</t>
  </si>
  <si>
    <t>IIIF to me is a way to send large images in the form of a manifest. That way institutions can easily exchange images with each other. Before that images were stored on the private servers of these institutions.</t>
  </si>
  <si>
    <t>we are already using it</t>
  </si>
  <si>
    <t>The practical application of the theory.</t>
  </si>
  <si>
    <t>Not everyone of my coworkers is on the same level in the use of IIIF which makes them a lot in slower to process everything. So the workshop was quite basic for me, but I still learned some things I ddin't know before.</t>
  </si>
  <si>
    <t>IIIF website (https://iiif.io/), IIIF slack, MMMONK website (https://www.mmmonk.be), website of meemoo (https://meemoo.be)</t>
  </si>
  <si>
    <t>The ability to compare on line two illuminations from two medieval manuscripts kept at different institutions</t>
  </si>
  <si>
    <t>It has no priority for my work</t>
  </si>
  <si>
    <t>Maybe when there will be a moment that IIIF wil help with conservation problems.</t>
  </si>
  <si>
    <t>Easy to register, and look for new knowlegde what interests me</t>
  </si>
  <si>
    <t>No idea</t>
  </si>
  <si>
    <t>It’s a project to render manuscripts available to a broader public.</t>
  </si>
  <si>
    <t>Format</t>
  </si>
  <si>
    <t>Exercices</t>
  </si>
  <si>
    <t>Word of mouth, IIIF is implemented by my institution, By a project, By a newsletter, In an article or other publication</t>
  </si>
  <si>
    <t xml:space="preserve">IIIF is een open standaard voor het delen en beheren van (digitale) beelden. Het biedt een gestructureerde manier aan om metadata te beschrijven, presenteren en linken, waardoor gebruikers en computers deze objecten kunnen ontdekken en vergelijken. Zonder IIIF blijft alle data heel lokaal op servers of lokale websites geïsoleerd. Alles zit vast in silos en er is geen communicatie tussen de verschillende systemen. IIIF biedt de oplossing om data uit lokale systemen te halen door de data in een manifest te stoppen. Zo kan dit uit de server getrokken worden en naast beelden uit een andere instelling geplaatst worden in 1 IIIF viewer. </t>
  </si>
  <si>
    <t>time :)</t>
  </si>
  <si>
    <t xml:space="preserve">The workshop was very well constructed. First a clear explanation of what IIIF is. And then very clear cases that could be tested, while still leaving enough room for own creativity or input. </t>
  </si>
  <si>
    <t>Actually, no comments. The workshop was ideal in length and also the group of participants was limited enough to accommodate everyone.</t>
  </si>
  <si>
    <t>you did a very good job!</t>
  </si>
  <si>
    <t>A new digital method for management, sharing, and use of digital images</t>
  </si>
  <si>
    <t>A digital expert in our library</t>
  </si>
  <si>
    <t xml:space="preserve">Is was a useful introduction </t>
  </si>
  <si>
    <t>No answer</t>
  </si>
  <si>
    <t>Een manier om beelden op te slaan en te delen met behoud van de metadata</t>
  </si>
  <si>
    <t>I didn't attend the IIIF workshop</t>
  </si>
  <si>
    <t>I don't work with images, only catalography and library management. When starting projects about specific themes and prints, I would definitely like to learn more about IIIF, but sofar hadn't had the time for it</t>
  </si>
  <si>
    <t>I  loved the information about book covers and the history of it</t>
  </si>
  <si>
    <t>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</si>
</sst>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2" x14ac:knownFonts="1">
    <font>
      <sz val="10"/>
      <color rgb="FF000000"/>
      <name val="Arial"/>
      <scheme val="minor"/>
    </font>
    <font>
      <sz val="10"/>
      <color theme="1"/>
      <name val="Arial"/>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applyFont="1" applyAlignment="1"/>
    <xf numFmtId="0" fontId="1" fillId="0" borderId="0" xfId="0" applyFont="1"/>
    <xf numFmtId="164" fontId="1" fillId="0" borderId="0" xfId="0" applyNumberFormat="1" applyFont="1" applyAlignment="1"/>
    <xf numFmtId="0" fontId="1" fillId="0" borderId="0" xfId="0" applyFont="1" applyAlignment="1"/>
    <xf numFmtId="0" fontId="1" fillId="0" borderId="0" xfId="0" applyFont="1"/>
    <xf numFmtId="164" fontId="1" fillId="0" borderId="0" xfId="0" applyNumberFormat="1" applyFont="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G64"/>
  <sheetViews>
    <sheetView tabSelected="1" workbookViewId="0">
      <pane ySplit="1" topLeftCell="A2" activePane="bottomLeft" state="frozen"/>
      <selection pane="bottomLeft" activeCell="H1" sqref="H1"/>
    </sheetView>
  </sheetViews>
  <sheetFormatPr defaultColWidth="12.6640625" defaultRowHeight="15.75" customHeight="1" x14ac:dyDescent="0.25"/>
  <cols>
    <col min="1" max="39" width="18.88671875" customWidth="1"/>
  </cols>
  <sheetData>
    <row r="1" spans="1:33"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5">
      <c r="A2" s="2">
        <v>45369.921182812497</v>
      </c>
      <c r="B2" s="3" t="s">
        <v>33</v>
      </c>
      <c r="C2" s="3" t="s">
        <v>34</v>
      </c>
      <c r="D2" s="3" t="s">
        <v>35</v>
      </c>
      <c r="E2" s="3" t="s">
        <v>36</v>
      </c>
      <c r="F2" s="3" t="s">
        <v>37</v>
      </c>
      <c r="G2" s="3" t="s">
        <v>38</v>
      </c>
      <c r="H2" s="3" t="s">
        <v>38</v>
      </c>
      <c r="I2" s="3" t="s">
        <v>39</v>
      </c>
      <c r="M2" s="3" t="s">
        <v>40</v>
      </c>
      <c r="N2" s="3" t="s">
        <v>38</v>
      </c>
      <c r="O2" s="3" t="s">
        <v>41</v>
      </c>
      <c r="P2" s="3" t="s">
        <v>42</v>
      </c>
      <c r="Q2" s="3" t="s">
        <v>43</v>
      </c>
      <c r="R2" s="3" t="s">
        <v>44</v>
      </c>
      <c r="S2" s="3" t="s">
        <v>45</v>
      </c>
      <c r="T2" s="3" t="s">
        <v>46</v>
      </c>
      <c r="U2" s="3" t="s">
        <v>47</v>
      </c>
      <c r="V2" s="3" t="s">
        <v>48</v>
      </c>
      <c r="W2" s="3" t="s">
        <v>45</v>
      </c>
      <c r="X2" s="3" t="s">
        <v>49</v>
      </c>
      <c r="Y2" s="3" t="s">
        <v>38</v>
      </c>
      <c r="Z2" s="3" t="s">
        <v>50</v>
      </c>
      <c r="AC2" s="3" t="s">
        <v>51</v>
      </c>
      <c r="AD2" s="3" t="s">
        <v>52</v>
      </c>
      <c r="AE2" s="3" t="s">
        <v>44</v>
      </c>
    </row>
    <row r="3" spans="1:33" x14ac:dyDescent="0.25">
      <c r="A3" s="2">
        <v>45371.394335821758</v>
      </c>
      <c r="B3" s="3" t="s">
        <v>33</v>
      </c>
      <c r="C3" s="3" t="s">
        <v>53</v>
      </c>
      <c r="D3" s="3" t="s">
        <v>35</v>
      </c>
      <c r="E3" s="3" t="s">
        <v>54</v>
      </c>
      <c r="F3" s="3" t="s">
        <v>37</v>
      </c>
      <c r="G3" s="3" t="s">
        <v>38</v>
      </c>
      <c r="H3" s="3" t="s">
        <v>38</v>
      </c>
      <c r="I3" s="3" t="s">
        <v>55</v>
      </c>
      <c r="M3" s="3" t="s">
        <v>56</v>
      </c>
      <c r="N3" s="3" t="s">
        <v>38</v>
      </c>
      <c r="O3" s="3" t="s">
        <v>57</v>
      </c>
      <c r="P3" s="3" t="s">
        <v>44</v>
      </c>
      <c r="AA3" s="3" t="s">
        <v>58</v>
      </c>
      <c r="AB3" s="3" t="s">
        <v>56</v>
      </c>
      <c r="AE3" s="3" t="s">
        <v>38</v>
      </c>
      <c r="AF3" s="3" t="s">
        <v>59</v>
      </c>
    </row>
    <row r="4" spans="1:33" x14ac:dyDescent="0.25">
      <c r="A4" s="2">
        <v>45373.691651018518</v>
      </c>
      <c r="B4" s="3" t="s">
        <v>33</v>
      </c>
      <c r="C4" s="3" t="s">
        <v>34</v>
      </c>
      <c r="D4" s="3" t="s">
        <v>35</v>
      </c>
      <c r="E4" s="3" t="s">
        <v>36</v>
      </c>
      <c r="F4" s="3" t="s">
        <v>37</v>
      </c>
      <c r="G4" s="3" t="s">
        <v>38</v>
      </c>
      <c r="H4" s="3" t="s">
        <v>38</v>
      </c>
      <c r="I4" s="3" t="s">
        <v>60</v>
      </c>
      <c r="J4" s="3" t="s">
        <v>61</v>
      </c>
      <c r="M4" s="3" t="s">
        <v>62</v>
      </c>
      <c r="N4" s="3" t="s">
        <v>38</v>
      </c>
      <c r="O4" s="3" t="s">
        <v>43</v>
      </c>
      <c r="P4" s="3" t="s">
        <v>42</v>
      </c>
      <c r="Q4" s="3" t="s">
        <v>57</v>
      </c>
      <c r="R4" s="3" t="s">
        <v>63</v>
      </c>
      <c r="S4" s="3" t="s">
        <v>47</v>
      </c>
      <c r="T4" s="3" t="s">
        <v>46</v>
      </c>
      <c r="U4" s="3" t="s">
        <v>46</v>
      </c>
      <c r="V4" s="3" t="s">
        <v>45</v>
      </c>
      <c r="W4" s="3" t="s">
        <v>46</v>
      </c>
      <c r="X4" s="3" t="s">
        <v>64</v>
      </c>
      <c r="Y4" s="3" t="s">
        <v>65</v>
      </c>
      <c r="Z4" s="3" t="s">
        <v>66</v>
      </c>
      <c r="AC4" s="3" t="s">
        <v>67</v>
      </c>
      <c r="AD4" s="3" t="s">
        <v>68</v>
      </c>
      <c r="AE4" s="3" t="s">
        <v>44</v>
      </c>
      <c r="AG4" s="3" t="s">
        <v>69</v>
      </c>
    </row>
    <row r="5" spans="1:33" x14ac:dyDescent="0.25">
      <c r="A5" s="2">
        <v>45376.560729513891</v>
      </c>
      <c r="B5" s="3" t="s">
        <v>33</v>
      </c>
      <c r="C5" s="3" t="s">
        <v>70</v>
      </c>
      <c r="D5" s="3" t="s">
        <v>35</v>
      </c>
      <c r="E5" s="3" t="s">
        <v>36</v>
      </c>
      <c r="F5" s="3" t="s">
        <v>37</v>
      </c>
      <c r="G5" s="3" t="s">
        <v>38</v>
      </c>
      <c r="H5" s="3" t="s">
        <v>38</v>
      </c>
      <c r="I5" s="3" t="s">
        <v>71</v>
      </c>
      <c r="J5" s="3" t="s">
        <v>61</v>
      </c>
      <c r="M5" s="3" t="s">
        <v>72</v>
      </c>
      <c r="N5" s="3" t="s">
        <v>38</v>
      </c>
      <c r="O5" s="3" t="s">
        <v>57</v>
      </c>
      <c r="P5" s="3" t="s">
        <v>44</v>
      </c>
      <c r="AA5" s="3" t="s">
        <v>58</v>
      </c>
      <c r="AB5" s="3" t="s">
        <v>73</v>
      </c>
      <c r="AC5" s="3" t="s">
        <v>74</v>
      </c>
      <c r="AD5" s="3" t="s">
        <v>75</v>
      </c>
      <c r="AE5" s="3" t="s">
        <v>38</v>
      </c>
      <c r="AF5" s="3" t="s">
        <v>76</v>
      </c>
    </row>
    <row r="6" spans="1:33" x14ac:dyDescent="0.25">
      <c r="A6" s="2">
        <v>45376.583458124995</v>
      </c>
      <c r="B6" s="3" t="s">
        <v>33</v>
      </c>
      <c r="C6" s="3" t="s">
        <v>77</v>
      </c>
      <c r="D6" s="3" t="s">
        <v>35</v>
      </c>
      <c r="E6" s="3" t="s">
        <v>54</v>
      </c>
      <c r="F6" s="3" t="s">
        <v>37</v>
      </c>
      <c r="G6" s="3" t="s">
        <v>38</v>
      </c>
      <c r="H6" s="3" t="s">
        <v>44</v>
      </c>
      <c r="M6" s="3" t="s">
        <v>78</v>
      </c>
      <c r="N6" s="3" t="s">
        <v>38</v>
      </c>
      <c r="O6" s="3" t="s">
        <v>41</v>
      </c>
      <c r="P6" s="3" t="s">
        <v>42</v>
      </c>
      <c r="Q6" s="3" t="s">
        <v>79</v>
      </c>
      <c r="R6" s="3" t="s">
        <v>80</v>
      </c>
      <c r="S6" s="3" t="s">
        <v>81</v>
      </c>
      <c r="T6" s="3" t="s">
        <v>81</v>
      </c>
      <c r="U6" s="3" t="s">
        <v>81</v>
      </c>
      <c r="V6" s="3" t="s">
        <v>81</v>
      </c>
      <c r="W6" s="3" t="s">
        <v>81</v>
      </c>
      <c r="Y6" s="3" t="s">
        <v>38</v>
      </c>
      <c r="AC6" s="3" t="s">
        <v>82</v>
      </c>
      <c r="AD6" s="3" t="s">
        <v>83</v>
      </c>
      <c r="AE6" s="3" t="s">
        <v>44</v>
      </c>
    </row>
    <row r="7" spans="1:33" x14ac:dyDescent="0.25">
      <c r="A7" s="2">
        <v>45387.572993935188</v>
      </c>
      <c r="B7" s="3" t="s">
        <v>33</v>
      </c>
      <c r="C7" s="3" t="s">
        <v>53</v>
      </c>
      <c r="D7" s="3" t="s">
        <v>35</v>
      </c>
      <c r="E7" s="3" t="s">
        <v>54</v>
      </c>
      <c r="F7" s="3" t="s">
        <v>37</v>
      </c>
      <c r="G7" s="3" t="s">
        <v>38</v>
      </c>
      <c r="H7" s="3" t="s">
        <v>38</v>
      </c>
      <c r="I7" s="3" t="s">
        <v>55</v>
      </c>
      <c r="M7" s="3" t="s">
        <v>84</v>
      </c>
      <c r="N7" s="3" t="s">
        <v>38</v>
      </c>
      <c r="O7" s="3" t="s">
        <v>41</v>
      </c>
      <c r="P7" s="3" t="s">
        <v>44</v>
      </c>
      <c r="AA7" s="3" t="s">
        <v>58</v>
      </c>
      <c r="AB7" s="3" t="s">
        <v>85</v>
      </c>
      <c r="AC7" s="3" t="s">
        <v>86</v>
      </c>
      <c r="AD7" s="3" t="s">
        <v>87</v>
      </c>
      <c r="AE7" s="3" t="s">
        <v>38</v>
      </c>
      <c r="AF7" s="3" t="s">
        <v>88</v>
      </c>
    </row>
    <row r="8" spans="1:33" x14ac:dyDescent="0.25">
      <c r="A8" s="2">
        <v>45394.933704039351</v>
      </c>
      <c r="B8" s="3" t="s">
        <v>89</v>
      </c>
      <c r="C8" s="3" t="s">
        <v>90</v>
      </c>
      <c r="D8" s="3" t="s">
        <v>91</v>
      </c>
      <c r="E8" s="3" t="s">
        <v>54</v>
      </c>
      <c r="F8" s="3" t="s">
        <v>92</v>
      </c>
      <c r="G8" s="3" t="s">
        <v>38</v>
      </c>
      <c r="H8" s="3" t="s">
        <v>38</v>
      </c>
      <c r="I8" s="3" t="s">
        <v>93</v>
      </c>
      <c r="J8" s="3" t="s">
        <v>61</v>
      </c>
      <c r="M8" s="3" t="s">
        <v>94</v>
      </c>
      <c r="N8" s="3" t="s">
        <v>38</v>
      </c>
      <c r="O8" s="3" t="s">
        <v>41</v>
      </c>
      <c r="P8" s="3" t="s">
        <v>44</v>
      </c>
      <c r="AA8" s="3" t="s">
        <v>95</v>
      </c>
      <c r="AB8" s="3" t="s">
        <v>96</v>
      </c>
      <c r="AC8" s="3" t="s">
        <v>97</v>
      </c>
      <c r="AD8" s="3" t="s">
        <v>98</v>
      </c>
      <c r="AE8" s="3" t="s">
        <v>38</v>
      </c>
      <c r="AF8" s="3" t="s">
        <v>99</v>
      </c>
    </row>
    <row r="9" spans="1:33" x14ac:dyDescent="0.25">
      <c r="A9" s="2">
        <v>45395.316877928242</v>
      </c>
      <c r="B9" s="3" t="s">
        <v>100</v>
      </c>
      <c r="C9" s="3" t="s">
        <v>101</v>
      </c>
      <c r="D9" s="3" t="s">
        <v>35</v>
      </c>
      <c r="E9" s="3" t="s">
        <v>102</v>
      </c>
      <c r="F9" s="3" t="s">
        <v>103</v>
      </c>
      <c r="G9" s="3" t="s">
        <v>104</v>
      </c>
      <c r="H9" s="3" t="s">
        <v>44</v>
      </c>
      <c r="M9" s="3" t="s">
        <v>105</v>
      </c>
      <c r="N9" s="3" t="s">
        <v>38</v>
      </c>
      <c r="O9" s="3" t="s">
        <v>43</v>
      </c>
      <c r="P9" s="3" t="s">
        <v>42</v>
      </c>
      <c r="Q9" s="3" t="s">
        <v>41</v>
      </c>
      <c r="R9" s="3" t="s">
        <v>44</v>
      </c>
      <c r="S9" s="3" t="s">
        <v>47</v>
      </c>
      <c r="T9" s="3" t="s">
        <v>47</v>
      </c>
      <c r="U9" s="3" t="s">
        <v>46</v>
      </c>
      <c r="V9" s="3" t="s">
        <v>45</v>
      </c>
      <c r="W9" s="3" t="s">
        <v>46</v>
      </c>
      <c r="Y9" s="3" t="s">
        <v>38</v>
      </c>
      <c r="AC9" s="3" t="s">
        <v>106</v>
      </c>
      <c r="AD9" s="3" t="s">
        <v>107</v>
      </c>
      <c r="AE9" s="3" t="s">
        <v>38</v>
      </c>
      <c r="AF9" s="3" t="s">
        <v>108</v>
      </c>
      <c r="AG9" s="3" t="s">
        <v>109</v>
      </c>
    </row>
    <row r="10" spans="1:33" x14ac:dyDescent="0.25">
      <c r="A10" s="2">
        <v>45395.386384016208</v>
      </c>
      <c r="B10" s="3" t="s">
        <v>110</v>
      </c>
      <c r="C10" s="3" t="s">
        <v>111</v>
      </c>
      <c r="D10" s="3" t="s">
        <v>112</v>
      </c>
      <c r="E10" s="3" t="s">
        <v>54</v>
      </c>
      <c r="F10" s="3" t="s">
        <v>92</v>
      </c>
      <c r="G10" s="3" t="s">
        <v>38</v>
      </c>
      <c r="H10" s="3" t="s">
        <v>38</v>
      </c>
      <c r="I10" s="3" t="s">
        <v>113</v>
      </c>
      <c r="M10" s="3" t="s">
        <v>114</v>
      </c>
      <c r="N10" s="3" t="s">
        <v>38</v>
      </c>
      <c r="O10" s="3" t="s">
        <v>41</v>
      </c>
      <c r="P10" s="3" t="s">
        <v>44</v>
      </c>
      <c r="AA10" s="3" t="s">
        <v>115</v>
      </c>
      <c r="AB10" s="3" t="s">
        <v>116</v>
      </c>
      <c r="AC10" s="3" t="s">
        <v>117</v>
      </c>
      <c r="AD10" s="3" t="s">
        <v>118</v>
      </c>
      <c r="AE10" s="3" t="s">
        <v>38</v>
      </c>
      <c r="AF10" s="3" t="s">
        <v>119</v>
      </c>
    </row>
    <row r="11" spans="1:33" x14ac:dyDescent="0.25">
      <c r="A11" s="2">
        <v>45395.757050185188</v>
      </c>
      <c r="B11" s="3" t="s">
        <v>110</v>
      </c>
      <c r="C11" s="3" t="s">
        <v>120</v>
      </c>
      <c r="D11" s="3" t="s">
        <v>35</v>
      </c>
      <c r="E11" s="3" t="s">
        <v>54</v>
      </c>
      <c r="F11" s="3" t="s">
        <v>121</v>
      </c>
      <c r="G11" s="3" t="s">
        <v>38</v>
      </c>
      <c r="H11" s="3" t="s">
        <v>38</v>
      </c>
      <c r="I11" s="3" t="s">
        <v>122</v>
      </c>
      <c r="M11" s="3" t="s">
        <v>123</v>
      </c>
      <c r="N11" s="3" t="s">
        <v>38</v>
      </c>
      <c r="O11" s="3" t="s">
        <v>43</v>
      </c>
      <c r="P11" s="3" t="s">
        <v>42</v>
      </c>
      <c r="Q11" s="3" t="s">
        <v>124</v>
      </c>
      <c r="R11" s="3" t="s">
        <v>80</v>
      </c>
      <c r="S11" s="3" t="s">
        <v>47</v>
      </c>
      <c r="T11" s="3" t="s">
        <v>47</v>
      </c>
      <c r="U11" s="3" t="s">
        <v>47</v>
      </c>
      <c r="V11" s="3" t="s">
        <v>45</v>
      </c>
      <c r="W11" s="3" t="s">
        <v>47</v>
      </c>
      <c r="Y11" s="3" t="s">
        <v>38</v>
      </c>
      <c r="AC11" s="3" t="s">
        <v>125</v>
      </c>
      <c r="AD11" s="3" t="s">
        <v>126</v>
      </c>
      <c r="AE11" s="3" t="s">
        <v>38</v>
      </c>
      <c r="AF11" s="3" t="s">
        <v>127</v>
      </c>
    </row>
    <row r="12" spans="1:33" x14ac:dyDescent="0.25">
      <c r="A12" s="2">
        <v>45395.788932685187</v>
      </c>
      <c r="B12" s="3" t="s">
        <v>100</v>
      </c>
      <c r="C12" s="3" t="s">
        <v>77</v>
      </c>
      <c r="D12" s="3" t="s">
        <v>35</v>
      </c>
      <c r="E12" s="3" t="s">
        <v>128</v>
      </c>
      <c r="F12" s="3" t="s">
        <v>129</v>
      </c>
      <c r="G12" s="3" t="s">
        <v>38</v>
      </c>
      <c r="H12" s="3" t="s">
        <v>38</v>
      </c>
      <c r="I12" s="3" t="s">
        <v>122</v>
      </c>
      <c r="J12" s="3" t="s">
        <v>61</v>
      </c>
      <c r="M12" s="3" t="s">
        <v>130</v>
      </c>
      <c r="N12" s="3" t="s">
        <v>38</v>
      </c>
      <c r="O12" s="3" t="s">
        <v>43</v>
      </c>
      <c r="P12" s="3" t="s">
        <v>42</v>
      </c>
      <c r="Q12" s="3" t="s">
        <v>131</v>
      </c>
      <c r="R12" s="3" t="s">
        <v>80</v>
      </c>
      <c r="S12" s="3" t="s">
        <v>46</v>
      </c>
      <c r="T12" s="3" t="s">
        <v>45</v>
      </c>
      <c r="U12" s="3" t="s">
        <v>47</v>
      </c>
      <c r="V12" s="3" t="s">
        <v>48</v>
      </c>
      <c r="W12" s="3" t="s">
        <v>81</v>
      </c>
      <c r="Y12" s="3" t="s">
        <v>38</v>
      </c>
      <c r="AC12" s="3" t="s">
        <v>132</v>
      </c>
      <c r="AD12" s="3" t="s">
        <v>133</v>
      </c>
      <c r="AE12" s="3" t="s">
        <v>44</v>
      </c>
    </row>
    <row r="13" spans="1:33" x14ac:dyDescent="0.25">
      <c r="A13" s="2">
        <v>45396.750136296294</v>
      </c>
      <c r="B13" s="3" t="s">
        <v>89</v>
      </c>
      <c r="C13" s="3" t="s">
        <v>53</v>
      </c>
      <c r="D13" s="3" t="s">
        <v>35</v>
      </c>
      <c r="E13" s="3" t="s">
        <v>134</v>
      </c>
      <c r="F13" s="3" t="s">
        <v>135</v>
      </c>
      <c r="G13" s="3" t="s">
        <v>38</v>
      </c>
      <c r="H13" s="3" t="s">
        <v>38</v>
      </c>
      <c r="I13" s="3" t="s">
        <v>39</v>
      </c>
      <c r="M13" s="3" t="s">
        <v>136</v>
      </c>
      <c r="N13" s="3" t="s">
        <v>38</v>
      </c>
      <c r="O13" s="3" t="s">
        <v>41</v>
      </c>
      <c r="P13" s="3" t="s">
        <v>42</v>
      </c>
      <c r="Q13" s="3" t="s">
        <v>137</v>
      </c>
      <c r="R13" s="3" t="s">
        <v>44</v>
      </c>
      <c r="S13" s="3" t="s">
        <v>47</v>
      </c>
      <c r="T13" s="3" t="s">
        <v>48</v>
      </c>
      <c r="U13" s="3" t="s">
        <v>47</v>
      </c>
      <c r="V13" s="3" t="s">
        <v>45</v>
      </c>
      <c r="W13" s="3" t="s">
        <v>45</v>
      </c>
      <c r="X13" s="3" t="s">
        <v>138</v>
      </c>
      <c r="Y13" s="3" t="s">
        <v>38</v>
      </c>
      <c r="AC13" s="3" t="s">
        <v>139</v>
      </c>
      <c r="AD13" s="3" t="s">
        <v>140</v>
      </c>
      <c r="AE13" s="3" t="s">
        <v>38</v>
      </c>
      <c r="AF13" s="3" t="s">
        <v>141</v>
      </c>
      <c r="AG13" s="3" t="s">
        <v>142</v>
      </c>
    </row>
    <row r="14" spans="1:33" x14ac:dyDescent="0.25">
      <c r="A14" s="2">
        <v>45396.837546319446</v>
      </c>
      <c r="B14" s="3" t="s">
        <v>89</v>
      </c>
      <c r="C14" s="3" t="s">
        <v>111</v>
      </c>
      <c r="D14" s="3" t="s">
        <v>35</v>
      </c>
      <c r="E14" s="3" t="s">
        <v>54</v>
      </c>
      <c r="F14" s="3" t="s">
        <v>135</v>
      </c>
      <c r="G14" s="3" t="s">
        <v>38</v>
      </c>
      <c r="H14" s="3" t="s">
        <v>38</v>
      </c>
      <c r="I14" s="3" t="s">
        <v>122</v>
      </c>
      <c r="M14" s="3" t="s">
        <v>143</v>
      </c>
      <c r="N14" s="3" t="s">
        <v>38</v>
      </c>
      <c r="O14" s="3" t="s">
        <v>144</v>
      </c>
      <c r="P14" s="3" t="s">
        <v>44</v>
      </c>
      <c r="AA14" s="3" t="s">
        <v>58</v>
      </c>
      <c r="AB14" s="3" t="s">
        <v>145</v>
      </c>
      <c r="AC14" s="3" t="s">
        <v>146</v>
      </c>
      <c r="AD14" s="3" t="s">
        <v>147</v>
      </c>
      <c r="AE14" s="3" t="s">
        <v>44</v>
      </c>
      <c r="AG14" s="3" t="s">
        <v>148</v>
      </c>
    </row>
    <row r="15" spans="1:33" x14ac:dyDescent="0.25">
      <c r="A15" s="2">
        <v>45397.427995439815</v>
      </c>
      <c r="B15" s="3" t="s">
        <v>33</v>
      </c>
      <c r="C15" s="3" t="s">
        <v>34</v>
      </c>
      <c r="D15" s="3" t="s">
        <v>35</v>
      </c>
      <c r="E15" s="3" t="s">
        <v>36</v>
      </c>
      <c r="F15" s="3" t="s">
        <v>37</v>
      </c>
      <c r="G15" s="3" t="s">
        <v>38</v>
      </c>
      <c r="H15" s="3" t="s">
        <v>38</v>
      </c>
      <c r="I15" s="3" t="s">
        <v>60</v>
      </c>
      <c r="J15" s="3" t="s">
        <v>61</v>
      </c>
      <c r="M15" s="3" t="s">
        <v>149</v>
      </c>
      <c r="N15" s="3" t="s">
        <v>38</v>
      </c>
      <c r="O15" s="3" t="s">
        <v>150</v>
      </c>
      <c r="P15" s="3" t="s">
        <v>42</v>
      </c>
      <c r="Q15" s="3" t="s">
        <v>57</v>
      </c>
      <c r="R15" s="3" t="s">
        <v>151</v>
      </c>
      <c r="S15" s="3" t="s">
        <v>47</v>
      </c>
      <c r="T15" s="3" t="s">
        <v>47</v>
      </c>
      <c r="U15" s="3" t="s">
        <v>47</v>
      </c>
      <c r="V15" s="3" t="s">
        <v>48</v>
      </c>
      <c r="W15" s="3" t="s">
        <v>47</v>
      </c>
      <c r="Y15" s="3" t="s">
        <v>38</v>
      </c>
      <c r="AC15" s="3" t="s">
        <v>152</v>
      </c>
      <c r="AD15" s="3" t="s">
        <v>83</v>
      </c>
      <c r="AE15" s="3" t="s">
        <v>44</v>
      </c>
    </row>
    <row r="16" spans="1:33" x14ac:dyDescent="0.25">
      <c r="A16" s="2">
        <v>45397.459050648147</v>
      </c>
      <c r="B16" s="3" t="s">
        <v>89</v>
      </c>
      <c r="C16" s="3" t="s">
        <v>70</v>
      </c>
      <c r="D16" s="3" t="s">
        <v>35</v>
      </c>
      <c r="E16" s="3" t="s">
        <v>54</v>
      </c>
      <c r="F16" s="3" t="s">
        <v>135</v>
      </c>
      <c r="G16" s="3" t="s">
        <v>38</v>
      </c>
      <c r="H16" s="3" t="s">
        <v>38</v>
      </c>
      <c r="I16" s="3" t="s">
        <v>122</v>
      </c>
      <c r="M16" s="3" t="s">
        <v>153</v>
      </c>
      <c r="N16" s="3" t="s">
        <v>44</v>
      </c>
      <c r="O16" s="3" t="s">
        <v>41</v>
      </c>
      <c r="P16" s="3" t="s">
        <v>42</v>
      </c>
      <c r="Q16" s="3" t="s">
        <v>154</v>
      </c>
      <c r="R16" s="3" t="s">
        <v>80</v>
      </c>
      <c r="S16" s="3" t="s">
        <v>46</v>
      </c>
      <c r="T16" s="3" t="s">
        <v>45</v>
      </c>
      <c r="U16" s="3" t="s">
        <v>47</v>
      </c>
      <c r="V16" s="3" t="s">
        <v>155</v>
      </c>
      <c r="W16" s="3" t="s">
        <v>45</v>
      </c>
      <c r="X16" s="3" t="s">
        <v>156</v>
      </c>
      <c r="Y16" s="3" t="s">
        <v>157</v>
      </c>
      <c r="AC16" s="3" t="s">
        <v>158</v>
      </c>
      <c r="AD16" s="3" t="s">
        <v>159</v>
      </c>
      <c r="AE16" s="3" t="s">
        <v>38</v>
      </c>
      <c r="AF16" s="3" t="s">
        <v>160</v>
      </c>
    </row>
    <row r="17" spans="1:33" x14ac:dyDescent="0.25">
      <c r="A17" s="2">
        <v>45397.466983564816</v>
      </c>
      <c r="B17" s="3" t="s">
        <v>100</v>
      </c>
      <c r="C17" s="3" t="s">
        <v>101</v>
      </c>
      <c r="D17" s="3" t="s">
        <v>35</v>
      </c>
      <c r="E17" s="3" t="s">
        <v>54</v>
      </c>
      <c r="F17" s="3" t="s">
        <v>161</v>
      </c>
      <c r="G17" s="3" t="s">
        <v>38</v>
      </c>
      <c r="H17" s="3" t="s">
        <v>44</v>
      </c>
      <c r="M17" s="3" t="s">
        <v>162</v>
      </c>
      <c r="N17" s="3" t="s">
        <v>38</v>
      </c>
      <c r="O17" s="3" t="s">
        <v>41</v>
      </c>
      <c r="P17" s="3" t="s">
        <v>42</v>
      </c>
      <c r="Q17" s="3" t="s">
        <v>41</v>
      </c>
      <c r="R17" s="3" t="s">
        <v>63</v>
      </c>
      <c r="S17" s="3" t="s">
        <v>46</v>
      </c>
      <c r="T17" s="3" t="s">
        <v>46</v>
      </c>
      <c r="U17" s="3" t="s">
        <v>47</v>
      </c>
      <c r="V17" s="3" t="s">
        <v>46</v>
      </c>
      <c r="W17" s="3" t="s">
        <v>45</v>
      </c>
      <c r="X17" s="3" t="s">
        <v>163</v>
      </c>
      <c r="Y17" s="3" t="s">
        <v>44</v>
      </c>
      <c r="Z17" s="3" t="s">
        <v>164</v>
      </c>
      <c r="AC17" s="3" t="s">
        <v>165</v>
      </c>
      <c r="AD17" s="3" t="s">
        <v>166</v>
      </c>
      <c r="AE17" s="3" t="s">
        <v>44</v>
      </c>
      <c r="AG17" s="3" t="s">
        <v>167</v>
      </c>
    </row>
    <row r="18" spans="1:33" x14ac:dyDescent="0.25">
      <c r="A18" s="2">
        <v>45397.557457962961</v>
      </c>
      <c r="B18" s="3" t="s">
        <v>168</v>
      </c>
      <c r="C18" s="3" t="s">
        <v>169</v>
      </c>
      <c r="D18" s="3" t="s">
        <v>35</v>
      </c>
      <c r="E18" s="3" t="s">
        <v>134</v>
      </c>
      <c r="F18" s="3" t="s">
        <v>37</v>
      </c>
      <c r="G18" s="3" t="s">
        <v>38</v>
      </c>
      <c r="H18" s="3" t="s">
        <v>44</v>
      </c>
      <c r="M18" s="3" t="s">
        <v>170</v>
      </c>
      <c r="N18" s="3" t="s">
        <v>44</v>
      </c>
      <c r="O18" s="3" t="s">
        <v>41</v>
      </c>
      <c r="P18" s="3" t="s">
        <v>44</v>
      </c>
      <c r="AA18" s="3" t="s">
        <v>95</v>
      </c>
      <c r="AB18" s="3" t="s">
        <v>171</v>
      </c>
      <c r="AC18" s="3" t="s">
        <v>172</v>
      </c>
      <c r="AD18" s="3" t="s">
        <v>173</v>
      </c>
      <c r="AE18" s="3" t="s">
        <v>44</v>
      </c>
    </row>
    <row r="19" spans="1:33" x14ac:dyDescent="0.25">
      <c r="A19" s="2">
        <v>45398.369131423606</v>
      </c>
      <c r="B19" s="3" t="s">
        <v>110</v>
      </c>
      <c r="C19" s="3" t="s">
        <v>111</v>
      </c>
      <c r="D19" s="3" t="s">
        <v>35</v>
      </c>
      <c r="E19" s="3" t="s">
        <v>134</v>
      </c>
      <c r="F19" s="3" t="s">
        <v>174</v>
      </c>
      <c r="G19" s="3" t="s">
        <v>38</v>
      </c>
      <c r="H19" s="3" t="s">
        <v>44</v>
      </c>
      <c r="M19" s="3" t="s">
        <v>175</v>
      </c>
      <c r="N19" s="3" t="s">
        <v>38</v>
      </c>
      <c r="O19" s="3" t="s">
        <v>154</v>
      </c>
      <c r="P19" s="3" t="s">
        <v>44</v>
      </c>
      <c r="AA19" s="3" t="s">
        <v>58</v>
      </c>
      <c r="AB19" s="3" t="s">
        <v>176</v>
      </c>
      <c r="AC19" s="3" t="s">
        <v>177</v>
      </c>
      <c r="AD19" s="3" t="s">
        <v>178</v>
      </c>
      <c r="AE19" s="3" t="s">
        <v>44</v>
      </c>
    </row>
    <row r="20" spans="1:33" x14ac:dyDescent="0.25">
      <c r="A20" s="2">
        <v>45398.371831909724</v>
      </c>
      <c r="B20" s="3" t="s">
        <v>33</v>
      </c>
      <c r="C20" s="3" t="s">
        <v>70</v>
      </c>
      <c r="D20" s="3" t="s">
        <v>35</v>
      </c>
      <c r="E20" s="3" t="s">
        <v>128</v>
      </c>
      <c r="F20" s="3" t="s">
        <v>174</v>
      </c>
      <c r="G20" s="3" t="s">
        <v>38</v>
      </c>
      <c r="H20" s="3" t="s">
        <v>38</v>
      </c>
      <c r="I20" s="3" t="s">
        <v>179</v>
      </c>
      <c r="J20" s="3" t="s">
        <v>61</v>
      </c>
      <c r="L20" s="3" t="s">
        <v>180</v>
      </c>
      <c r="M20" s="3" t="s">
        <v>181</v>
      </c>
      <c r="N20" s="3" t="s">
        <v>38</v>
      </c>
      <c r="O20" s="3" t="s">
        <v>57</v>
      </c>
      <c r="P20" s="3" t="s">
        <v>44</v>
      </c>
      <c r="AA20" s="3" t="s">
        <v>182</v>
      </c>
      <c r="AB20" s="3" t="s">
        <v>183</v>
      </c>
      <c r="AC20" s="3" t="s">
        <v>184</v>
      </c>
      <c r="AD20" s="3" t="s">
        <v>185</v>
      </c>
      <c r="AE20" s="3" t="s">
        <v>44</v>
      </c>
    </row>
    <row r="21" spans="1:33" x14ac:dyDescent="0.25">
      <c r="A21" s="2">
        <v>45398.412998414351</v>
      </c>
      <c r="B21" s="3" t="s">
        <v>100</v>
      </c>
      <c r="C21" s="3" t="s">
        <v>186</v>
      </c>
      <c r="D21" s="3" t="s">
        <v>35</v>
      </c>
      <c r="E21" s="3" t="s">
        <v>128</v>
      </c>
      <c r="F21" s="3" t="s">
        <v>174</v>
      </c>
      <c r="G21" s="3" t="s">
        <v>38</v>
      </c>
      <c r="H21" s="3" t="s">
        <v>44</v>
      </c>
      <c r="M21" s="3" t="s">
        <v>187</v>
      </c>
      <c r="N21" s="3" t="s">
        <v>38</v>
      </c>
      <c r="O21" s="3" t="s">
        <v>43</v>
      </c>
      <c r="P21" s="3" t="s">
        <v>42</v>
      </c>
      <c r="Q21" s="3" t="s">
        <v>43</v>
      </c>
      <c r="R21" s="3" t="s">
        <v>80</v>
      </c>
      <c r="S21" s="3" t="s">
        <v>46</v>
      </c>
      <c r="T21" s="3" t="s">
        <v>46</v>
      </c>
      <c r="U21" s="3" t="s">
        <v>47</v>
      </c>
      <c r="V21" s="3" t="s">
        <v>45</v>
      </c>
      <c r="W21" s="3" t="s">
        <v>45</v>
      </c>
      <c r="Y21" s="3" t="s">
        <v>44</v>
      </c>
      <c r="AC21" s="3" t="s">
        <v>188</v>
      </c>
      <c r="AD21" s="3" t="s">
        <v>189</v>
      </c>
      <c r="AE21" s="3" t="s">
        <v>44</v>
      </c>
    </row>
    <row r="22" spans="1:33" x14ac:dyDescent="0.25">
      <c r="A22" s="2">
        <v>45398.523585636576</v>
      </c>
      <c r="B22" s="3" t="s">
        <v>100</v>
      </c>
      <c r="C22" s="3" t="s">
        <v>186</v>
      </c>
      <c r="D22" s="3" t="s">
        <v>190</v>
      </c>
      <c r="E22" s="3" t="s">
        <v>54</v>
      </c>
      <c r="F22" s="3" t="s">
        <v>191</v>
      </c>
      <c r="G22" s="3" t="s">
        <v>104</v>
      </c>
      <c r="H22" s="3" t="s">
        <v>44</v>
      </c>
      <c r="M22" s="3" t="s">
        <v>192</v>
      </c>
      <c r="N22" s="3" t="s">
        <v>38</v>
      </c>
      <c r="O22" s="3" t="s">
        <v>154</v>
      </c>
      <c r="P22" s="3" t="s">
        <v>42</v>
      </c>
      <c r="Q22" s="3" t="s">
        <v>193</v>
      </c>
      <c r="R22" s="3" t="s">
        <v>44</v>
      </c>
      <c r="S22" s="3" t="s">
        <v>46</v>
      </c>
      <c r="T22" s="3" t="s">
        <v>46</v>
      </c>
      <c r="U22" s="3" t="s">
        <v>47</v>
      </c>
      <c r="V22" s="3" t="s">
        <v>155</v>
      </c>
      <c r="W22" s="3" t="s">
        <v>45</v>
      </c>
      <c r="Y22" s="3" t="s">
        <v>38</v>
      </c>
      <c r="AC22" s="3" t="s">
        <v>194</v>
      </c>
      <c r="AD22" s="3" t="s">
        <v>195</v>
      </c>
      <c r="AE22" s="3" t="s">
        <v>44</v>
      </c>
    </row>
    <row r="23" spans="1:33" x14ac:dyDescent="0.25">
      <c r="A23" s="2">
        <v>45398.524925289355</v>
      </c>
      <c r="B23" s="3" t="s">
        <v>196</v>
      </c>
      <c r="C23" s="3" t="s">
        <v>101</v>
      </c>
      <c r="D23" s="3" t="s">
        <v>197</v>
      </c>
      <c r="E23" s="3" t="s">
        <v>134</v>
      </c>
      <c r="F23" s="3" t="s">
        <v>191</v>
      </c>
      <c r="G23" s="3" t="s">
        <v>38</v>
      </c>
      <c r="H23" s="3" t="s">
        <v>38</v>
      </c>
      <c r="I23" s="3" t="s">
        <v>198</v>
      </c>
      <c r="L23" s="3" t="s">
        <v>199</v>
      </c>
      <c r="M23" s="3" t="s">
        <v>200</v>
      </c>
      <c r="N23" s="3" t="s">
        <v>38</v>
      </c>
      <c r="O23" s="3" t="s">
        <v>43</v>
      </c>
      <c r="P23" s="3" t="s">
        <v>42</v>
      </c>
      <c r="Q23" s="3" t="s">
        <v>193</v>
      </c>
      <c r="R23" s="3" t="s">
        <v>201</v>
      </c>
      <c r="S23" s="3" t="s">
        <v>46</v>
      </c>
      <c r="T23" s="3" t="s">
        <v>48</v>
      </c>
      <c r="U23" s="3" t="s">
        <v>46</v>
      </c>
      <c r="V23" s="3" t="s">
        <v>48</v>
      </c>
      <c r="W23" s="3" t="s">
        <v>81</v>
      </c>
      <c r="Y23" s="3" t="s">
        <v>38</v>
      </c>
      <c r="AC23" s="3" t="s">
        <v>202</v>
      </c>
      <c r="AD23" s="3" t="s">
        <v>203</v>
      </c>
      <c r="AE23" s="3" t="s">
        <v>44</v>
      </c>
    </row>
    <row r="24" spans="1:33" x14ac:dyDescent="0.25">
      <c r="A24" s="2">
        <v>45398.578359930558</v>
      </c>
      <c r="B24" s="3" t="s">
        <v>110</v>
      </c>
      <c r="C24" s="3" t="s">
        <v>111</v>
      </c>
      <c r="D24" s="3" t="s">
        <v>35</v>
      </c>
      <c r="E24" s="3" t="s">
        <v>128</v>
      </c>
      <c r="F24" s="3" t="s">
        <v>121</v>
      </c>
      <c r="G24" s="3" t="s">
        <v>104</v>
      </c>
      <c r="H24" s="3" t="s">
        <v>44</v>
      </c>
      <c r="M24" s="3" t="s">
        <v>204</v>
      </c>
      <c r="N24" s="3" t="s">
        <v>38</v>
      </c>
      <c r="O24" s="3" t="s">
        <v>150</v>
      </c>
      <c r="P24" s="3" t="s">
        <v>44</v>
      </c>
      <c r="AA24" s="3" t="s">
        <v>58</v>
      </c>
      <c r="AB24" s="3" t="s">
        <v>159</v>
      </c>
      <c r="AC24" s="3" t="s">
        <v>205</v>
      </c>
      <c r="AD24" s="3" t="s">
        <v>159</v>
      </c>
      <c r="AE24" s="3" t="s">
        <v>44</v>
      </c>
      <c r="AG24" s="3" t="s">
        <v>206</v>
      </c>
    </row>
    <row r="25" spans="1:33" x14ac:dyDescent="0.25">
      <c r="A25" s="2">
        <v>45398.621004328699</v>
      </c>
      <c r="B25" s="3" t="s">
        <v>110</v>
      </c>
      <c r="C25" s="3" t="s">
        <v>111</v>
      </c>
      <c r="D25" s="3" t="s">
        <v>35</v>
      </c>
      <c r="E25" s="3" t="s">
        <v>134</v>
      </c>
      <c r="F25" s="3" t="s">
        <v>174</v>
      </c>
      <c r="G25" s="3" t="s">
        <v>38</v>
      </c>
      <c r="H25" s="3" t="s">
        <v>38</v>
      </c>
      <c r="I25" s="3" t="s">
        <v>113</v>
      </c>
      <c r="L25" s="3" t="s">
        <v>207</v>
      </c>
      <c r="M25" s="3" t="s">
        <v>208</v>
      </c>
      <c r="N25" s="3" t="s">
        <v>38</v>
      </c>
      <c r="O25" s="3" t="s">
        <v>154</v>
      </c>
      <c r="P25" s="3" t="s">
        <v>42</v>
      </c>
      <c r="Q25" s="3" t="s">
        <v>209</v>
      </c>
      <c r="R25" s="3" t="s">
        <v>63</v>
      </c>
      <c r="S25" s="3" t="s">
        <v>47</v>
      </c>
      <c r="T25" s="3" t="s">
        <v>46</v>
      </c>
      <c r="U25" s="3" t="s">
        <v>45</v>
      </c>
      <c r="V25" s="3" t="s">
        <v>47</v>
      </c>
      <c r="W25" s="3" t="s">
        <v>45</v>
      </c>
      <c r="Y25" s="3" t="s">
        <v>38</v>
      </c>
      <c r="AC25" s="3" t="s">
        <v>210</v>
      </c>
      <c r="AD25" s="3" t="s">
        <v>211</v>
      </c>
      <c r="AE25" s="3" t="s">
        <v>38</v>
      </c>
      <c r="AF25" s="3" t="s">
        <v>212</v>
      </c>
    </row>
    <row r="26" spans="1:33" x14ac:dyDescent="0.25">
      <c r="A26" s="2">
        <v>45398.629325439819</v>
      </c>
      <c r="B26" s="3" t="s">
        <v>100</v>
      </c>
      <c r="C26" s="3" t="s">
        <v>186</v>
      </c>
      <c r="D26" s="3" t="s">
        <v>213</v>
      </c>
      <c r="E26" s="3" t="s">
        <v>36</v>
      </c>
      <c r="F26" s="3" t="s">
        <v>121</v>
      </c>
      <c r="G26" s="3" t="s">
        <v>104</v>
      </c>
      <c r="H26" s="3" t="s">
        <v>44</v>
      </c>
      <c r="M26" s="3" t="s">
        <v>159</v>
      </c>
      <c r="N26" s="3" t="s">
        <v>38</v>
      </c>
      <c r="O26" s="3" t="s">
        <v>154</v>
      </c>
      <c r="P26" s="3" t="s">
        <v>42</v>
      </c>
      <c r="Q26" s="3" t="s">
        <v>214</v>
      </c>
      <c r="R26" s="3" t="s">
        <v>44</v>
      </c>
      <c r="S26" s="3" t="s">
        <v>46</v>
      </c>
      <c r="T26" s="3" t="s">
        <v>46</v>
      </c>
      <c r="U26" s="3" t="s">
        <v>46</v>
      </c>
      <c r="V26" s="3" t="s">
        <v>46</v>
      </c>
      <c r="W26" s="3" t="s">
        <v>46</v>
      </c>
      <c r="Y26" s="3" t="s">
        <v>44</v>
      </c>
      <c r="AC26" s="3" t="s">
        <v>159</v>
      </c>
      <c r="AD26" s="3" t="s">
        <v>159</v>
      </c>
      <c r="AE26" s="3" t="s">
        <v>38</v>
      </c>
      <c r="AF26" s="3" t="s">
        <v>215</v>
      </c>
    </row>
    <row r="27" spans="1:33" x14ac:dyDescent="0.25">
      <c r="A27" s="2">
        <v>45398.705116134261</v>
      </c>
      <c r="B27" s="3" t="s">
        <v>100</v>
      </c>
      <c r="C27" s="3" t="s">
        <v>186</v>
      </c>
      <c r="D27" s="3" t="s">
        <v>35</v>
      </c>
      <c r="E27" s="3" t="s">
        <v>134</v>
      </c>
      <c r="F27" s="3" t="s">
        <v>161</v>
      </c>
      <c r="G27" s="3" t="s">
        <v>38</v>
      </c>
      <c r="H27" s="3" t="s">
        <v>38</v>
      </c>
      <c r="I27" s="3" t="s">
        <v>216</v>
      </c>
      <c r="J27" s="3" t="s">
        <v>61</v>
      </c>
      <c r="K27" s="3" t="s">
        <v>217</v>
      </c>
      <c r="M27" s="3" t="s">
        <v>218</v>
      </c>
      <c r="N27" s="3" t="s">
        <v>38</v>
      </c>
      <c r="O27" s="3" t="s">
        <v>43</v>
      </c>
      <c r="P27" s="3" t="s">
        <v>42</v>
      </c>
      <c r="Q27" s="3" t="s">
        <v>219</v>
      </c>
      <c r="R27" s="3" t="s">
        <v>44</v>
      </c>
      <c r="S27" s="3" t="s">
        <v>46</v>
      </c>
      <c r="T27" s="3" t="s">
        <v>46</v>
      </c>
      <c r="U27" s="3" t="s">
        <v>45</v>
      </c>
      <c r="V27" s="3" t="s">
        <v>45</v>
      </c>
      <c r="W27" s="3" t="s">
        <v>45</v>
      </c>
      <c r="Y27" s="3" t="s">
        <v>38</v>
      </c>
      <c r="AC27" s="3" t="s">
        <v>220</v>
      </c>
      <c r="AD27" s="3" t="s">
        <v>221</v>
      </c>
      <c r="AE27" s="3" t="s">
        <v>44</v>
      </c>
    </row>
    <row r="28" spans="1:33" x14ac:dyDescent="0.25">
      <c r="A28" s="2">
        <v>45398.72534258102</v>
      </c>
      <c r="B28" s="3" t="s">
        <v>222</v>
      </c>
      <c r="C28" s="3" t="s">
        <v>223</v>
      </c>
      <c r="D28" s="3" t="s">
        <v>35</v>
      </c>
      <c r="E28" s="3" t="s">
        <v>224</v>
      </c>
      <c r="F28" s="3" t="s">
        <v>225</v>
      </c>
      <c r="G28" s="3" t="s">
        <v>104</v>
      </c>
      <c r="H28" s="3" t="s">
        <v>44</v>
      </c>
      <c r="M28" s="3" t="s">
        <v>226</v>
      </c>
      <c r="N28" s="3" t="s">
        <v>44</v>
      </c>
      <c r="O28" s="3" t="s">
        <v>227</v>
      </c>
      <c r="P28" s="3" t="s">
        <v>44</v>
      </c>
      <c r="AA28" s="3" t="s">
        <v>228</v>
      </c>
      <c r="AB28" s="3" t="s">
        <v>229</v>
      </c>
      <c r="AC28" s="3" t="s">
        <v>230</v>
      </c>
      <c r="AD28" s="3" t="s">
        <v>231</v>
      </c>
      <c r="AE28" s="3" t="s">
        <v>44</v>
      </c>
      <c r="AG28" s="3" t="s">
        <v>232</v>
      </c>
    </row>
    <row r="29" spans="1:33" x14ac:dyDescent="0.25">
      <c r="A29" s="2">
        <v>45398.799393506946</v>
      </c>
      <c r="B29" s="3" t="s">
        <v>100</v>
      </c>
      <c r="C29" s="3" t="s">
        <v>186</v>
      </c>
      <c r="D29" s="3" t="s">
        <v>197</v>
      </c>
      <c r="E29" s="3" t="s">
        <v>134</v>
      </c>
      <c r="F29" s="3" t="s">
        <v>233</v>
      </c>
      <c r="G29" s="3" t="s">
        <v>38</v>
      </c>
      <c r="H29" s="3" t="s">
        <v>44</v>
      </c>
      <c r="M29" s="3" t="s">
        <v>234</v>
      </c>
      <c r="N29" s="3" t="s">
        <v>38</v>
      </c>
      <c r="O29" s="3" t="s">
        <v>43</v>
      </c>
      <c r="P29" s="3" t="s">
        <v>42</v>
      </c>
      <c r="Q29" s="3" t="s">
        <v>235</v>
      </c>
      <c r="R29" s="3" t="s">
        <v>80</v>
      </c>
      <c r="S29" s="3" t="s">
        <v>46</v>
      </c>
      <c r="T29" s="3" t="s">
        <v>46</v>
      </c>
      <c r="U29" s="3" t="s">
        <v>47</v>
      </c>
      <c r="V29" s="3" t="s">
        <v>155</v>
      </c>
      <c r="W29" s="3" t="s">
        <v>47</v>
      </c>
      <c r="Y29" s="3" t="s">
        <v>38</v>
      </c>
      <c r="AC29" s="3" t="s">
        <v>236</v>
      </c>
      <c r="AD29" s="3" t="s">
        <v>237</v>
      </c>
      <c r="AE29" s="3" t="s">
        <v>38</v>
      </c>
      <c r="AF29" s="3" t="s">
        <v>108</v>
      </c>
      <c r="AG29" s="3" t="s">
        <v>238</v>
      </c>
    </row>
    <row r="30" spans="1:33" x14ac:dyDescent="0.25">
      <c r="A30" s="2">
        <v>45398.939215844905</v>
      </c>
      <c r="B30" s="3" t="s">
        <v>110</v>
      </c>
      <c r="C30" s="3" t="s">
        <v>186</v>
      </c>
      <c r="D30" s="3" t="s">
        <v>239</v>
      </c>
      <c r="E30" s="3" t="s">
        <v>128</v>
      </c>
      <c r="F30" s="3" t="s">
        <v>103</v>
      </c>
      <c r="G30" s="3" t="s">
        <v>38</v>
      </c>
      <c r="H30" s="3" t="s">
        <v>38</v>
      </c>
      <c r="I30" s="3" t="s">
        <v>198</v>
      </c>
      <c r="J30" s="3" t="s">
        <v>240</v>
      </c>
      <c r="K30" s="3" t="s">
        <v>145</v>
      </c>
      <c r="L30" s="3" t="s">
        <v>241</v>
      </c>
      <c r="M30" s="3" t="s">
        <v>242</v>
      </c>
      <c r="N30" s="3" t="s">
        <v>38</v>
      </c>
      <c r="O30" s="3" t="s">
        <v>41</v>
      </c>
      <c r="P30" s="3" t="s">
        <v>44</v>
      </c>
      <c r="AA30" s="3" t="s">
        <v>58</v>
      </c>
      <c r="AB30" s="3" t="s">
        <v>243</v>
      </c>
      <c r="AC30" s="3" t="s">
        <v>244</v>
      </c>
      <c r="AD30" s="3" t="s">
        <v>245</v>
      </c>
      <c r="AE30" s="3" t="s">
        <v>38</v>
      </c>
      <c r="AF30" s="3" t="s">
        <v>246</v>
      </c>
      <c r="AG30" s="3" t="s">
        <v>247</v>
      </c>
    </row>
    <row r="31" spans="1:33" x14ac:dyDescent="0.25">
      <c r="A31" s="2">
        <v>45399.286360300925</v>
      </c>
      <c r="B31" s="3" t="s">
        <v>110</v>
      </c>
      <c r="C31" s="3" t="s">
        <v>111</v>
      </c>
      <c r="D31" s="3" t="s">
        <v>35</v>
      </c>
      <c r="E31" s="3" t="s">
        <v>36</v>
      </c>
      <c r="F31" s="3" t="s">
        <v>121</v>
      </c>
      <c r="G31" s="3" t="s">
        <v>38</v>
      </c>
      <c r="H31" s="3" t="s">
        <v>38</v>
      </c>
      <c r="I31" s="3" t="s">
        <v>122</v>
      </c>
      <c r="J31" s="3" t="s">
        <v>61</v>
      </c>
      <c r="M31" s="3" t="s">
        <v>248</v>
      </c>
      <c r="N31" s="3" t="s">
        <v>44</v>
      </c>
      <c r="O31" s="3" t="s">
        <v>150</v>
      </c>
      <c r="P31" s="3" t="s">
        <v>44</v>
      </c>
      <c r="AA31" s="3" t="s">
        <v>249</v>
      </c>
      <c r="AB31" s="3" t="s">
        <v>250</v>
      </c>
      <c r="AC31" s="3" t="s">
        <v>251</v>
      </c>
      <c r="AD31" s="3" t="s">
        <v>252</v>
      </c>
      <c r="AE31" s="3" t="s">
        <v>38</v>
      </c>
      <c r="AF31" s="3" t="s">
        <v>108</v>
      </c>
    </row>
    <row r="32" spans="1:33" x14ac:dyDescent="0.25">
      <c r="A32" s="2">
        <v>45399.442065694442</v>
      </c>
      <c r="B32" s="3" t="s">
        <v>100</v>
      </c>
      <c r="C32" s="3" t="s">
        <v>186</v>
      </c>
      <c r="D32" s="3" t="s">
        <v>253</v>
      </c>
      <c r="E32" s="3" t="s">
        <v>36</v>
      </c>
      <c r="F32" s="3" t="s">
        <v>191</v>
      </c>
      <c r="G32" s="3" t="s">
        <v>104</v>
      </c>
      <c r="H32" s="3" t="s">
        <v>44</v>
      </c>
      <c r="M32" s="3" t="s">
        <v>254</v>
      </c>
      <c r="N32" s="3" t="s">
        <v>38</v>
      </c>
      <c r="O32" s="3" t="s">
        <v>43</v>
      </c>
      <c r="P32" s="3" t="s">
        <v>42</v>
      </c>
      <c r="Q32" s="3" t="s">
        <v>193</v>
      </c>
      <c r="R32" s="3" t="s">
        <v>80</v>
      </c>
      <c r="S32" s="3" t="s">
        <v>46</v>
      </c>
      <c r="T32" s="3" t="s">
        <v>46</v>
      </c>
      <c r="U32" s="3" t="s">
        <v>46</v>
      </c>
      <c r="V32" s="3" t="s">
        <v>155</v>
      </c>
      <c r="W32" s="3" t="s">
        <v>47</v>
      </c>
      <c r="Y32" s="3" t="s">
        <v>38</v>
      </c>
      <c r="AC32" s="3" t="s">
        <v>255</v>
      </c>
      <c r="AD32" s="3" t="s">
        <v>159</v>
      </c>
      <c r="AE32" s="3" t="s">
        <v>44</v>
      </c>
    </row>
    <row r="33" spans="1:33" x14ac:dyDescent="0.25">
      <c r="A33" s="2">
        <v>45399.574895659724</v>
      </c>
      <c r="B33" s="3" t="s">
        <v>100</v>
      </c>
      <c r="C33" s="3" t="s">
        <v>101</v>
      </c>
      <c r="D33" s="3" t="s">
        <v>35</v>
      </c>
      <c r="E33" s="3" t="s">
        <v>134</v>
      </c>
      <c r="F33" s="3" t="s">
        <v>121</v>
      </c>
      <c r="G33" s="3" t="s">
        <v>104</v>
      </c>
      <c r="H33" s="3" t="s">
        <v>44</v>
      </c>
      <c r="M33" s="3" t="s">
        <v>256</v>
      </c>
      <c r="N33" s="3" t="s">
        <v>38</v>
      </c>
      <c r="O33" s="3" t="s">
        <v>43</v>
      </c>
      <c r="P33" s="3" t="s">
        <v>42</v>
      </c>
      <c r="Q33" s="3" t="s">
        <v>235</v>
      </c>
      <c r="R33" s="3" t="s">
        <v>151</v>
      </c>
      <c r="S33" s="3" t="s">
        <v>47</v>
      </c>
      <c r="T33" s="3" t="s">
        <v>47</v>
      </c>
      <c r="U33" s="3" t="s">
        <v>46</v>
      </c>
      <c r="V33" s="3" t="s">
        <v>81</v>
      </c>
      <c r="W33" s="3" t="s">
        <v>47</v>
      </c>
      <c r="Y33" s="3" t="s">
        <v>38</v>
      </c>
      <c r="AC33" s="3" t="s">
        <v>257</v>
      </c>
      <c r="AD33" s="3" t="s">
        <v>159</v>
      </c>
      <c r="AE33" s="3" t="s">
        <v>38</v>
      </c>
      <c r="AF33" s="3" t="s">
        <v>108</v>
      </c>
    </row>
    <row r="34" spans="1:33" x14ac:dyDescent="0.25">
      <c r="A34" s="2">
        <v>45399.608666585649</v>
      </c>
      <c r="B34" s="3" t="s">
        <v>110</v>
      </c>
      <c r="C34" s="3" t="s">
        <v>258</v>
      </c>
      <c r="D34" s="3" t="s">
        <v>239</v>
      </c>
      <c r="E34" s="3" t="s">
        <v>102</v>
      </c>
      <c r="F34" s="3" t="s">
        <v>103</v>
      </c>
      <c r="G34" s="3" t="s">
        <v>104</v>
      </c>
      <c r="H34" s="3" t="s">
        <v>44</v>
      </c>
      <c r="M34" s="3" t="s">
        <v>259</v>
      </c>
      <c r="N34" s="3" t="s">
        <v>44</v>
      </c>
      <c r="O34" s="3" t="s">
        <v>43</v>
      </c>
      <c r="P34" s="3" t="s">
        <v>44</v>
      </c>
      <c r="AA34" s="3" t="s">
        <v>58</v>
      </c>
      <c r="AB34" s="3" t="s">
        <v>260</v>
      </c>
      <c r="AC34" s="3" t="s">
        <v>261</v>
      </c>
      <c r="AD34" s="3" t="s">
        <v>262</v>
      </c>
      <c r="AE34" s="3" t="s">
        <v>44</v>
      </c>
    </row>
    <row r="35" spans="1:33" x14ac:dyDescent="0.25">
      <c r="A35" s="2">
        <v>45400.379857789347</v>
      </c>
      <c r="B35" s="3" t="s">
        <v>33</v>
      </c>
      <c r="C35" s="3" t="s">
        <v>90</v>
      </c>
      <c r="D35" s="3" t="s">
        <v>35</v>
      </c>
      <c r="E35" s="3" t="s">
        <v>134</v>
      </c>
      <c r="F35" s="3" t="s">
        <v>37</v>
      </c>
      <c r="G35" s="3" t="s">
        <v>38</v>
      </c>
      <c r="H35" s="3" t="s">
        <v>44</v>
      </c>
      <c r="M35" s="3" t="s">
        <v>263</v>
      </c>
      <c r="N35" s="3" t="s">
        <v>44</v>
      </c>
      <c r="O35" s="3" t="s">
        <v>144</v>
      </c>
      <c r="P35" s="3" t="s">
        <v>44</v>
      </c>
      <c r="AA35" s="3" t="s">
        <v>264</v>
      </c>
      <c r="AB35" s="3" t="s">
        <v>265</v>
      </c>
      <c r="AC35" s="3" t="s">
        <v>266</v>
      </c>
      <c r="AD35" s="3" t="s">
        <v>267</v>
      </c>
      <c r="AE35" s="3" t="s">
        <v>38</v>
      </c>
      <c r="AF35" s="3" t="s">
        <v>268</v>
      </c>
    </row>
    <row r="36" spans="1:33" x14ac:dyDescent="0.25">
      <c r="A36" s="2">
        <v>45400.549997453709</v>
      </c>
      <c r="B36" s="3" t="s">
        <v>100</v>
      </c>
      <c r="C36" s="3" t="s">
        <v>101</v>
      </c>
      <c r="D36" s="3" t="s">
        <v>269</v>
      </c>
      <c r="E36" s="3" t="s">
        <v>102</v>
      </c>
      <c r="F36" s="3" t="s">
        <v>191</v>
      </c>
      <c r="G36" s="3" t="s">
        <v>104</v>
      </c>
      <c r="H36" s="3" t="s">
        <v>44</v>
      </c>
      <c r="M36" s="3" t="s">
        <v>270</v>
      </c>
      <c r="N36" s="3" t="s">
        <v>44</v>
      </c>
      <c r="O36" s="3" t="s">
        <v>41</v>
      </c>
      <c r="P36" s="3" t="s">
        <v>44</v>
      </c>
      <c r="AA36" s="3" t="s">
        <v>58</v>
      </c>
      <c r="AB36" s="3" t="s">
        <v>271</v>
      </c>
      <c r="AC36" s="3" t="s">
        <v>272</v>
      </c>
      <c r="AD36" s="3" t="s">
        <v>273</v>
      </c>
      <c r="AE36" s="3" t="s">
        <v>38</v>
      </c>
      <c r="AF36" s="3" t="s">
        <v>108</v>
      </c>
    </row>
    <row r="37" spans="1:33" x14ac:dyDescent="0.25">
      <c r="A37" s="2">
        <v>45401.504317638886</v>
      </c>
      <c r="B37" s="3" t="s">
        <v>100</v>
      </c>
      <c r="C37" s="3" t="s">
        <v>186</v>
      </c>
      <c r="D37" s="3" t="s">
        <v>274</v>
      </c>
      <c r="E37" s="3" t="s">
        <v>36</v>
      </c>
      <c r="F37" s="3" t="s">
        <v>233</v>
      </c>
      <c r="G37" s="3" t="s">
        <v>38</v>
      </c>
      <c r="H37" s="3" t="s">
        <v>38</v>
      </c>
      <c r="I37" s="3" t="s">
        <v>93</v>
      </c>
      <c r="M37" s="3" t="s">
        <v>275</v>
      </c>
      <c r="N37" s="3" t="s">
        <v>38</v>
      </c>
      <c r="O37" s="3" t="s">
        <v>154</v>
      </c>
      <c r="P37" s="3" t="s">
        <v>42</v>
      </c>
      <c r="Q37" s="3" t="s">
        <v>276</v>
      </c>
      <c r="R37" s="3" t="s">
        <v>80</v>
      </c>
      <c r="S37" s="3" t="s">
        <v>46</v>
      </c>
      <c r="T37" s="3" t="s">
        <v>47</v>
      </c>
      <c r="U37" s="3" t="s">
        <v>47</v>
      </c>
      <c r="V37" s="3" t="s">
        <v>47</v>
      </c>
      <c r="W37" s="3" t="s">
        <v>46</v>
      </c>
      <c r="Y37" s="3" t="s">
        <v>277</v>
      </c>
      <c r="Z37" s="3" t="s">
        <v>278</v>
      </c>
      <c r="AC37" s="3" t="s">
        <v>279</v>
      </c>
      <c r="AD37" s="3" t="s">
        <v>280</v>
      </c>
      <c r="AE37" s="3" t="s">
        <v>44</v>
      </c>
      <c r="AG37" s="3" t="s">
        <v>281</v>
      </c>
    </row>
    <row r="38" spans="1:33" x14ac:dyDescent="0.25">
      <c r="A38" s="2">
        <v>45402.523510474537</v>
      </c>
      <c r="B38" s="3" t="s">
        <v>168</v>
      </c>
      <c r="C38" s="3" t="s">
        <v>186</v>
      </c>
      <c r="D38" s="3" t="s">
        <v>282</v>
      </c>
      <c r="E38" s="3" t="s">
        <v>54</v>
      </c>
      <c r="F38" s="3" t="s">
        <v>191</v>
      </c>
      <c r="G38" s="3" t="s">
        <v>38</v>
      </c>
      <c r="H38" s="3" t="s">
        <v>38</v>
      </c>
      <c r="I38" s="3" t="s">
        <v>283</v>
      </c>
      <c r="J38" s="3" t="s">
        <v>284</v>
      </c>
      <c r="K38" s="3" t="s">
        <v>285</v>
      </c>
      <c r="M38" s="3" t="s">
        <v>286</v>
      </c>
      <c r="N38" s="3" t="s">
        <v>38</v>
      </c>
      <c r="O38" s="3" t="s">
        <v>43</v>
      </c>
      <c r="P38" s="3" t="s">
        <v>44</v>
      </c>
      <c r="AA38" s="3" t="s">
        <v>58</v>
      </c>
      <c r="AB38" s="3" t="s">
        <v>287</v>
      </c>
      <c r="AC38" s="3" t="s">
        <v>288</v>
      </c>
      <c r="AD38" s="3" t="s">
        <v>289</v>
      </c>
      <c r="AE38" s="3" t="s">
        <v>38</v>
      </c>
      <c r="AF38" s="3" t="s">
        <v>290</v>
      </c>
      <c r="AG38" s="3" t="s">
        <v>291</v>
      </c>
    </row>
    <row r="39" spans="1:33" x14ac:dyDescent="0.25">
      <c r="A39" s="2">
        <v>45403.929543078702</v>
      </c>
      <c r="B39" s="3" t="s">
        <v>33</v>
      </c>
      <c r="C39" s="3" t="s">
        <v>53</v>
      </c>
      <c r="D39" s="3" t="s">
        <v>35</v>
      </c>
      <c r="E39" s="3" t="s">
        <v>54</v>
      </c>
      <c r="F39" s="3" t="s">
        <v>191</v>
      </c>
      <c r="G39" s="3" t="s">
        <v>38</v>
      </c>
      <c r="H39" s="3" t="s">
        <v>38</v>
      </c>
      <c r="I39" s="3" t="s">
        <v>292</v>
      </c>
      <c r="M39" s="3" t="s">
        <v>293</v>
      </c>
      <c r="N39" s="3" t="s">
        <v>38</v>
      </c>
      <c r="O39" s="3" t="s">
        <v>43</v>
      </c>
      <c r="P39" s="3" t="s">
        <v>44</v>
      </c>
      <c r="AA39" s="3" t="s">
        <v>58</v>
      </c>
      <c r="AB39" s="3" t="s">
        <v>294</v>
      </c>
      <c r="AC39" s="3" t="s">
        <v>295</v>
      </c>
      <c r="AD39" s="3" t="s">
        <v>296</v>
      </c>
      <c r="AE39" s="3" t="s">
        <v>44</v>
      </c>
    </row>
    <row r="40" spans="1:33" x14ac:dyDescent="0.25">
      <c r="A40" s="2">
        <v>45404.038822870367</v>
      </c>
      <c r="B40" s="3" t="s">
        <v>100</v>
      </c>
      <c r="C40" s="3" t="s">
        <v>169</v>
      </c>
      <c r="D40" s="3" t="s">
        <v>239</v>
      </c>
      <c r="E40" s="3" t="s">
        <v>128</v>
      </c>
      <c r="F40" s="3" t="s">
        <v>297</v>
      </c>
      <c r="G40" s="3" t="s">
        <v>38</v>
      </c>
      <c r="H40" s="3" t="s">
        <v>38</v>
      </c>
      <c r="I40" s="3" t="s">
        <v>298</v>
      </c>
      <c r="J40" s="3" t="s">
        <v>61</v>
      </c>
      <c r="M40" s="3" t="s">
        <v>299</v>
      </c>
      <c r="N40" s="3" t="s">
        <v>38</v>
      </c>
      <c r="O40" s="3" t="s">
        <v>43</v>
      </c>
      <c r="P40" s="3" t="s">
        <v>42</v>
      </c>
      <c r="Q40" s="3" t="s">
        <v>300</v>
      </c>
      <c r="R40" s="3" t="s">
        <v>80</v>
      </c>
      <c r="S40" s="3" t="s">
        <v>47</v>
      </c>
      <c r="T40" s="3" t="s">
        <v>47</v>
      </c>
      <c r="U40" s="3" t="s">
        <v>47</v>
      </c>
      <c r="V40" s="3" t="s">
        <v>45</v>
      </c>
      <c r="W40" s="3" t="s">
        <v>46</v>
      </c>
      <c r="X40" s="3" t="s">
        <v>301</v>
      </c>
      <c r="Y40" s="3" t="s">
        <v>38</v>
      </c>
      <c r="Z40" s="3" t="s">
        <v>302</v>
      </c>
      <c r="AC40" s="3" t="s">
        <v>303</v>
      </c>
      <c r="AD40" s="3" t="s">
        <v>304</v>
      </c>
      <c r="AE40" s="3" t="s">
        <v>38</v>
      </c>
      <c r="AF40" s="3" t="s">
        <v>305</v>
      </c>
      <c r="AG40" s="3" t="s">
        <v>306</v>
      </c>
    </row>
    <row r="41" spans="1:33" x14ac:dyDescent="0.25">
      <c r="A41" s="2">
        <v>45404.059863217597</v>
      </c>
      <c r="B41" s="3" t="s">
        <v>100</v>
      </c>
      <c r="C41" s="3" t="s">
        <v>101</v>
      </c>
      <c r="D41" s="3" t="s">
        <v>239</v>
      </c>
      <c r="E41" s="3" t="s">
        <v>102</v>
      </c>
      <c r="F41" s="3" t="s">
        <v>297</v>
      </c>
      <c r="G41" s="3" t="s">
        <v>104</v>
      </c>
      <c r="H41" s="3" t="s">
        <v>44</v>
      </c>
      <c r="M41" s="3" t="s">
        <v>307</v>
      </c>
      <c r="N41" s="3" t="s">
        <v>38</v>
      </c>
      <c r="O41" s="3" t="s">
        <v>41</v>
      </c>
      <c r="P41" s="3" t="s">
        <v>42</v>
      </c>
      <c r="Q41" s="3" t="s">
        <v>308</v>
      </c>
      <c r="R41" s="3" t="s">
        <v>63</v>
      </c>
      <c r="S41" s="3" t="s">
        <v>47</v>
      </c>
      <c r="T41" s="3" t="s">
        <v>45</v>
      </c>
      <c r="U41" s="3" t="s">
        <v>47</v>
      </c>
      <c r="V41" s="3" t="s">
        <v>45</v>
      </c>
      <c r="W41" s="3" t="s">
        <v>155</v>
      </c>
      <c r="Y41" s="3" t="s">
        <v>38</v>
      </c>
      <c r="AC41" s="3" t="s">
        <v>309</v>
      </c>
      <c r="AD41" s="3" t="s">
        <v>310</v>
      </c>
      <c r="AE41" s="3" t="s">
        <v>38</v>
      </c>
      <c r="AF41" s="3" t="s">
        <v>311</v>
      </c>
      <c r="AG41" s="3" t="s">
        <v>312</v>
      </c>
    </row>
    <row r="42" spans="1:33" x14ac:dyDescent="0.25">
      <c r="A42" s="2">
        <v>45407.387667233794</v>
      </c>
      <c r="B42" s="3" t="s">
        <v>110</v>
      </c>
      <c r="C42" s="3" t="s">
        <v>70</v>
      </c>
      <c r="D42" s="3" t="s">
        <v>313</v>
      </c>
      <c r="E42" s="3" t="s">
        <v>54</v>
      </c>
      <c r="F42" s="3" t="s">
        <v>314</v>
      </c>
      <c r="G42" s="3" t="s">
        <v>38</v>
      </c>
      <c r="H42" s="3" t="s">
        <v>38</v>
      </c>
      <c r="I42" s="3" t="s">
        <v>315</v>
      </c>
      <c r="J42" s="3" t="s">
        <v>61</v>
      </c>
      <c r="M42" s="3" t="s">
        <v>316</v>
      </c>
      <c r="N42" s="3" t="s">
        <v>38</v>
      </c>
      <c r="O42" s="3" t="s">
        <v>57</v>
      </c>
      <c r="P42" s="3" t="s">
        <v>42</v>
      </c>
      <c r="Q42" s="3" t="s">
        <v>317</v>
      </c>
      <c r="R42" s="3" t="s">
        <v>80</v>
      </c>
      <c r="S42" s="3" t="s">
        <v>46</v>
      </c>
      <c r="T42" s="3" t="s">
        <v>47</v>
      </c>
      <c r="U42" s="3" t="s">
        <v>48</v>
      </c>
      <c r="V42" s="3" t="s">
        <v>46</v>
      </c>
      <c r="W42" s="3" t="s">
        <v>47</v>
      </c>
      <c r="Y42" s="3" t="s">
        <v>318</v>
      </c>
      <c r="AC42" s="3" t="s">
        <v>319</v>
      </c>
      <c r="AD42" s="3" t="s">
        <v>320</v>
      </c>
      <c r="AE42" s="3" t="s">
        <v>38</v>
      </c>
      <c r="AF42" s="3" t="s">
        <v>321</v>
      </c>
    </row>
    <row r="43" spans="1:33" x14ac:dyDescent="0.25">
      <c r="A43" s="2">
        <v>45411.944227627318</v>
      </c>
      <c r="B43" s="3" t="s">
        <v>110</v>
      </c>
      <c r="C43" s="3" t="s">
        <v>111</v>
      </c>
      <c r="D43" s="3" t="s">
        <v>313</v>
      </c>
      <c r="E43" s="3" t="s">
        <v>322</v>
      </c>
      <c r="F43" s="3" t="s">
        <v>314</v>
      </c>
      <c r="G43" s="3" t="s">
        <v>38</v>
      </c>
      <c r="H43" s="3" t="s">
        <v>38</v>
      </c>
      <c r="I43" s="3" t="s">
        <v>122</v>
      </c>
      <c r="J43" s="3" t="s">
        <v>323</v>
      </c>
      <c r="M43" s="3" t="s">
        <v>324</v>
      </c>
      <c r="N43" s="3" t="s">
        <v>38</v>
      </c>
      <c r="O43" s="3" t="s">
        <v>43</v>
      </c>
      <c r="P43" s="3" t="s">
        <v>42</v>
      </c>
      <c r="Q43" s="3" t="s">
        <v>43</v>
      </c>
      <c r="R43" s="3" t="s">
        <v>44</v>
      </c>
      <c r="S43" s="3" t="s">
        <v>47</v>
      </c>
      <c r="T43" s="3" t="s">
        <v>81</v>
      </c>
      <c r="U43" s="3" t="s">
        <v>47</v>
      </c>
      <c r="V43" s="3" t="s">
        <v>47</v>
      </c>
      <c r="W43" s="3" t="s">
        <v>47</v>
      </c>
      <c r="Y43" s="3" t="s">
        <v>44</v>
      </c>
      <c r="AC43" s="3" t="s">
        <v>325</v>
      </c>
      <c r="AD43" s="3" t="s">
        <v>326</v>
      </c>
      <c r="AE43" s="3" t="s">
        <v>44</v>
      </c>
      <c r="AG43" s="3" t="s">
        <v>327</v>
      </c>
    </row>
    <row r="44" spans="1:33" x14ac:dyDescent="0.25">
      <c r="A44" s="2">
        <v>45412.589293217592</v>
      </c>
      <c r="B44" s="3" t="s">
        <v>110</v>
      </c>
      <c r="C44" s="3" t="s">
        <v>328</v>
      </c>
      <c r="D44" s="3" t="s">
        <v>35</v>
      </c>
      <c r="E44" s="3" t="s">
        <v>36</v>
      </c>
      <c r="F44" s="3" t="s">
        <v>225</v>
      </c>
      <c r="G44" s="3" t="s">
        <v>38</v>
      </c>
      <c r="H44" s="3" t="s">
        <v>38</v>
      </c>
      <c r="I44" s="3" t="s">
        <v>122</v>
      </c>
      <c r="M44" s="3" t="s">
        <v>329</v>
      </c>
      <c r="N44" s="3" t="s">
        <v>38</v>
      </c>
      <c r="O44" s="3" t="s">
        <v>144</v>
      </c>
      <c r="P44" s="3" t="s">
        <v>44</v>
      </c>
      <c r="AA44" s="3" t="s">
        <v>330</v>
      </c>
      <c r="AB44" s="3" t="s">
        <v>331</v>
      </c>
      <c r="AC44" s="3" t="s">
        <v>332</v>
      </c>
      <c r="AD44" s="3" t="s">
        <v>333</v>
      </c>
      <c r="AE44" s="3" t="s">
        <v>44</v>
      </c>
    </row>
    <row r="45" spans="1:33" x14ac:dyDescent="0.25">
      <c r="A45" s="2">
        <v>45412.601278576389</v>
      </c>
      <c r="B45" s="3" t="s">
        <v>89</v>
      </c>
      <c r="C45" s="3" t="s">
        <v>334</v>
      </c>
      <c r="D45" s="3" t="s">
        <v>35</v>
      </c>
      <c r="E45" s="3" t="s">
        <v>54</v>
      </c>
      <c r="F45" s="3" t="s">
        <v>135</v>
      </c>
      <c r="G45" s="3" t="s">
        <v>38</v>
      </c>
      <c r="H45" s="3" t="s">
        <v>38</v>
      </c>
      <c r="I45" s="3" t="s">
        <v>122</v>
      </c>
      <c r="J45" s="3" t="s">
        <v>61</v>
      </c>
      <c r="M45" s="3" t="s">
        <v>335</v>
      </c>
      <c r="N45" s="3" t="s">
        <v>38</v>
      </c>
      <c r="O45" s="3" t="s">
        <v>144</v>
      </c>
      <c r="P45" s="3" t="s">
        <v>42</v>
      </c>
      <c r="Q45" s="3" t="s">
        <v>336</v>
      </c>
      <c r="R45" s="3" t="s">
        <v>44</v>
      </c>
      <c r="S45" s="3" t="s">
        <v>46</v>
      </c>
      <c r="T45" s="3" t="s">
        <v>47</v>
      </c>
      <c r="U45" s="3" t="s">
        <v>47</v>
      </c>
      <c r="V45" s="3" t="s">
        <v>46</v>
      </c>
      <c r="W45" s="3" t="s">
        <v>45</v>
      </c>
      <c r="Y45" s="3" t="s">
        <v>38</v>
      </c>
      <c r="AC45" s="3" t="s">
        <v>337</v>
      </c>
      <c r="AD45" s="3" t="s">
        <v>320</v>
      </c>
      <c r="AE45" s="3" t="s">
        <v>44</v>
      </c>
      <c r="AG45" s="3" t="s">
        <v>338</v>
      </c>
    </row>
    <row r="46" spans="1:33" x14ac:dyDescent="0.25">
      <c r="A46" s="2">
        <v>45412.601419317129</v>
      </c>
      <c r="B46" s="3" t="s">
        <v>110</v>
      </c>
      <c r="C46" s="3" t="s">
        <v>111</v>
      </c>
      <c r="D46" s="3" t="s">
        <v>339</v>
      </c>
      <c r="E46" s="3" t="s">
        <v>36</v>
      </c>
      <c r="F46" s="3" t="s">
        <v>191</v>
      </c>
      <c r="G46" s="3" t="s">
        <v>38</v>
      </c>
      <c r="H46" s="3" t="s">
        <v>44</v>
      </c>
      <c r="M46" s="3" t="s">
        <v>340</v>
      </c>
      <c r="N46" s="3" t="s">
        <v>38</v>
      </c>
      <c r="O46" s="3" t="s">
        <v>43</v>
      </c>
      <c r="P46" s="3" t="s">
        <v>42</v>
      </c>
      <c r="Q46" s="3" t="s">
        <v>150</v>
      </c>
      <c r="R46" s="3" t="s">
        <v>80</v>
      </c>
      <c r="S46" s="3" t="s">
        <v>46</v>
      </c>
      <c r="T46" s="3" t="s">
        <v>46</v>
      </c>
      <c r="U46" s="3" t="s">
        <v>46</v>
      </c>
      <c r="V46" s="3" t="s">
        <v>45</v>
      </c>
      <c r="W46" s="3" t="s">
        <v>46</v>
      </c>
      <c r="Y46" s="3" t="s">
        <v>38</v>
      </c>
      <c r="AC46" s="3" t="s">
        <v>341</v>
      </c>
      <c r="AD46" s="3" t="s">
        <v>342</v>
      </c>
      <c r="AE46" s="3" t="s">
        <v>44</v>
      </c>
      <c r="AG46" s="3" t="s">
        <v>343</v>
      </c>
    </row>
    <row r="47" spans="1:33" x14ac:dyDescent="0.25">
      <c r="A47" s="2">
        <v>45412.602794872684</v>
      </c>
      <c r="B47" s="3" t="s">
        <v>100</v>
      </c>
      <c r="C47" s="3" t="s">
        <v>101</v>
      </c>
      <c r="D47" s="3" t="s">
        <v>197</v>
      </c>
      <c r="E47" s="3" t="s">
        <v>36</v>
      </c>
      <c r="F47" s="3" t="s">
        <v>121</v>
      </c>
      <c r="G47" s="3" t="s">
        <v>38</v>
      </c>
      <c r="H47" s="3" t="s">
        <v>44</v>
      </c>
      <c r="M47" s="3" t="s">
        <v>344</v>
      </c>
      <c r="N47" s="3" t="s">
        <v>38</v>
      </c>
      <c r="O47" s="3" t="s">
        <v>43</v>
      </c>
      <c r="P47" s="3" t="s">
        <v>44</v>
      </c>
      <c r="AA47" s="3" t="s">
        <v>345</v>
      </c>
      <c r="AB47" s="3" t="s">
        <v>346</v>
      </c>
      <c r="AC47" s="3" t="s">
        <v>347</v>
      </c>
      <c r="AD47" s="3" t="s">
        <v>348</v>
      </c>
      <c r="AE47" s="3" t="s">
        <v>38</v>
      </c>
      <c r="AF47" s="3" t="s">
        <v>108</v>
      </c>
      <c r="AG47" s="3" t="s">
        <v>349</v>
      </c>
    </row>
    <row r="48" spans="1:33" x14ac:dyDescent="0.25">
      <c r="A48" s="2">
        <v>45412.60528614583</v>
      </c>
      <c r="B48" s="3" t="s">
        <v>350</v>
      </c>
      <c r="C48" s="3" t="s">
        <v>169</v>
      </c>
      <c r="D48" s="3" t="s">
        <v>313</v>
      </c>
      <c r="E48" s="3" t="s">
        <v>54</v>
      </c>
      <c r="F48" s="3" t="s">
        <v>121</v>
      </c>
      <c r="G48" s="3" t="s">
        <v>38</v>
      </c>
      <c r="H48" s="3" t="s">
        <v>44</v>
      </c>
      <c r="M48" s="3" t="s">
        <v>351</v>
      </c>
      <c r="N48" s="3" t="s">
        <v>38</v>
      </c>
      <c r="O48" s="3" t="s">
        <v>57</v>
      </c>
      <c r="P48" s="3" t="s">
        <v>42</v>
      </c>
      <c r="Q48" s="3" t="s">
        <v>300</v>
      </c>
      <c r="R48" s="3" t="s">
        <v>352</v>
      </c>
      <c r="S48" s="3" t="s">
        <v>46</v>
      </c>
      <c r="T48" s="3" t="s">
        <v>46</v>
      </c>
      <c r="U48" s="3" t="s">
        <v>46</v>
      </c>
      <c r="V48" s="3" t="s">
        <v>81</v>
      </c>
      <c r="W48" s="3" t="s">
        <v>46</v>
      </c>
      <c r="Y48" s="3" t="s">
        <v>38</v>
      </c>
      <c r="AC48" s="3" t="s">
        <v>353</v>
      </c>
      <c r="AD48" s="3" t="s">
        <v>354</v>
      </c>
      <c r="AE48" s="3" t="s">
        <v>38</v>
      </c>
      <c r="AF48" s="3" t="s">
        <v>108</v>
      </c>
      <c r="AG48" s="3" t="s">
        <v>355</v>
      </c>
    </row>
    <row r="49" spans="1:33" x14ac:dyDescent="0.25">
      <c r="A49" s="2">
        <v>45412.618157442128</v>
      </c>
      <c r="B49" s="3" t="s">
        <v>356</v>
      </c>
      <c r="C49" s="3" t="s">
        <v>77</v>
      </c>
      <c r="D49" s="3" t="s">
        <v>35</v>
      </c>
      <c r="E49" s="3" t="s">
        <v>322</v>
      </c>
      <c r="F49" s="3" t="s">
        <v>357</v>
      </c>
      <c r="G49" s="3" t="s">
        <v>38</v>
      </c>
      <c r="H49" s="3" t="s">
        <v>44</v>
      </c>
      <c r="M49" s="3" t="s">
        <v>358</v>
      </c>
      <c r="N49" s="3" t="s">
        <v>38</v>
      </c>
      <c r="O49" s="3" t="s">
        <v>43</v>
      </c>
      <c r="P49" s="3" t="s">
        <v>42</v>
      </c>
      <c r="Q49" s="3" t="s">
        <v>154</v>
      </c>
      <c r="R49" s="3" t="s">
        <v>63</v>
      </c>
      <c r="S49" s="3" t="s">
        <v>46</v>
      </c>
      <c r="T49" s="3" t="s">
        <v>45</v>
      </c>
      <c r="U49" s="3" t="s">
        <v>46</v>
      </c>
      <c r="V49" s="3" t="s">
        <v>45</v>
      </c>
      <c r="W49" s="3" t="s">
        <v>46</v>
      </c>
      <c r="Y49" s="3" t="s">
        <v>359</v>
      </c>
      <c r="AC49" s="3" t="s">
        <v>360</v>
      </c>
      <c r="AD49" s="3" t="s">
        <v>361</v>
      </c>
      <c r="AE49" s="3" t="s">
        <v>38</v>
      </c>
      <c r="AF49" s="3" t="s">
        <v>88</v>
      </c>
    </row>
    <row r="50" spans="1:33" x14ac:dyDescent="0.25">
      <c r="A50" s="2">
        <v>45412.631466932871</v>
      </c>
      <c r="B50" s="3" t="s">
        <v>362</v>
      </c>
      <c r="C50" s="3" t="s">
        <v>34</v>
      </c>
      <c r="D50" s="3" t="s">
        <v>313</v>
      </c>
      <c r="E50" s="3" t="s">
        <v>134</v>
      </c>
      <c r="F50" s="3" t="s">
        <v>191</v>
      </c>
      <c r="G50" s="3" t="s">
        <v>38</v>
      </c>
      <c r="H50" s="3" t="s">
        <v>38</v>
      </c>
      <c r="I50" s="3" t="s">
        <v>363</v>
      </c>
      <c r="J50" s="3" t="s">
        <v>364</v>
      </c>
      <c r="K50" s="3" t="s">
        <v>365</v>
      </c>
      <c r="M50" s="3" t="s">
        <v>366</v>
      </c>
      <c r="N50" s="3" t="s">
        <v>38</v>
      </c>
      <c r="O50" s="3" t="s">
        <v>43</v>
      </c>
      <c r="P50" s="3" t="s">
        <v>44</v>
      </c>
      <c r="AA50" s="3" t="s">
        <v>367</v>
      </c>
      <c r="AB50" s="3" t="s">
        <v>368</v>
      </c>
      <c r="AC50" s="3" t="s">
        <v>369</v>
      </c>
      <c r="AD50" s="3" t="s">
        <v>370</v>
      </c>
      <c r="AE50" s="3" t="s">
        <v>38</v>
      </c>
      <c r="AF50" s="3" t="s">
        <v>108</v>
      </c>
      <c r="AG50" s="3" t="s">
        <v>371</v>
      </c>
    </row>
    <row r="51" spans="1:33" x14ac:dyDescent="0.25">
      <c r="A51" s="2">
        <v>45412.657750162034</v>
      </c>
      <c r="B51" s="3" t="s">
        <v>89</v>
      </c>
      <c r="C51" s="3" t="s">
        <v>90</v>
      </c>
      <c r="D51" s="3" t="s">
        <v>35</v>
      </c>
      <c r="E51" s="3" t="s">
        <v>54</v>
      </c>
      <c r="F51" s="3" t="s">
        <v>135</v>
      </c>
      <c r="G51" s="3" t="s">
        <v>38</v>
      </c>
      <c r="H51" s="3" t="s">
        <v>38</v>
      </c>
      <c r="I51" s="3" t="s">
        <v>122</v>
      </c>
      <c r="M51" s="3" t="s">
        <v>372</v>
      </c>
      <c r="N51" s="3" t="s">
        <v>38</v>
      </c>
      <c r="O51" s="3" t="s">
        <v>43</v>
      </c>
      <c r="P51" s="3" t="s">
        <v>42</v>
      </c>
      <c r="Q51" s="3" t="s">
        <v>373</v>
      </c>
      <c r="R51" s="3" t="s">
        <v>80</v>
      </c>
      <c r="S51" s="3" t="s">
        <v>45</v>
      </c>
      <c r="T51" s="3" t="s">
        <v>46</v>
      </c>
      <c r="U51" s="3" t="s">
        <v>46</v>
      </c>
      <c r="V51" s="3" t="s">
        <v>47</v>
      </c>
      <c r="W51" s="3" t="s">
        <v>45</v>
      </c>
      <c r="Y51" s="3" t="s">
        <v>38</v>
      </c>
      <c r="AC51" s="3" t="s">
        <v>374</v>
      </c>
      <c r="AD51" s="3" t="s">
        <v>83</v>
      </c>
      <c r="AE51" s="3" t="s">
        <v>44</v>
      </c>
    </row>
    <row r="52" spans="1:33" x14ac:dyDescent="0.25">
      <c r="A52" s="2">
        <v>45412.66373325231</v>
      </c>
      <c r="B52" s="3" t="s">
        <v>110</v>
      </c>
      <c r="C52" s="3" t="s">
        <v>186</v>
      </c>
      <c r="D52" s="3" t="s">
        <v>35</v>
      </c>
      <c r="E52" s="3" t="s">
        <v>36</v>
      </c>
      <c r="F52" s="3" t="s">
        <v>225</v>
      </c>
      <c r="G52" s="3" t="s">
        <v>38</v>
      </c>
      <c r="H52" s="3" t="s">
        <v>38</v>
      </c>
      <c r="I52" s="3" t="s">
        <v>122</v>
      </c>
      <c r="M52" s="3" t="s">
        <v>375</v>
      </c>
      <c r="N52" s="3" t="s">
        <v>38</v>
      </c>
      <c r="O52" s="3" t="s">
        <v>376</v>
      </c>
      <c r="P52" s="3" t="s">
        <v>44</v>
      </c>
      <c r="AA52" s="3" t="s">
        <v>377</v>
      </c>
      <c r="AB52" s="3" t="s">
        <v>176</v>
      </c>
      <c r="AC52" s="3" t="s">
        <v>378</v>
      </c>
      <c r="AD52" s="3" t="s">
        <v>379</v>
      </c>
      <c r="AE52" s="3" t="s">
        <v>44</v>
      </c>
    </row>
    <row r="53" spans="1:33" x14ac:dyDescent="0.25">
      <c r="A53" s="2">
        <v>45412.834280208335</v>
      </c>
      <c r="B53" s="3" t="s">
        <v>100</v>
      </c>
      <c r="C53" s="3" t="s">
        <v>77</v>
      </c>
      <c r="D53" s="3" t="s">
        <v>380</v>
      </c>
      <c r="E53" s="3" t="s">
        <v>54</v>
      </c>
      <c r="F53" s="3" t="s">
        <v>191</v>
      </c>
      <c r="G53" s="3" t="s">
        <v>104</v>
      </c>
      <c r="H53" s="3" t="s">
        <v>44</v>
      </c>
      <c r="M53" s="3" t="s">
        <v>381</v>
      </c>
      <c r="N53" s="3" t="s">
        <v>38</v>
      </c>
      <c r="O53" s="3" t="s">
        <v>144</v>
      </c>
      <c r="P53" s="3" t="s">
        <v>42</v>
      </c>
      <c r="Q53" s="3" t="s">
        <v>154</v>
      </c>
      <c r="R53" s="3" t="s">
        <v>63</v>
      </c>
      <c r="S53" s="3" t="s">
        <v>45</v>
      </c>
      <c r="T53" s="3" t="s">
        <v>47</v>
      </c>
      <c r="U53" s="3" t="s">
        <v>47</v>
      </c>
      <c r="V53" s="3" t="s">
        <v>45</v>
      </c>
      <c r="W53" s="3" t="s">
        <v>46</v>
      </c>
      <c r="X53" s="3" t="s">
        <v>382</v>
      </c>
      <c r="Y53" s="3" t="s">
        <v>38</v>
      </c>
      <c r="Z53" s="3" t="s">
        <v>383</v>
      </c>
      <c r="AC53" s="3" t="s">
        <v>384</v>
      </c>
      <c r="AD53" s="3" t="s">
        <v>385</v>
      </c>
      <c r="AE53" s="3" t="s">
        <v>44</v>
      </c>
      <c r="AG53" s="3" t="s">
        <v>386</v>
      </c>
    </row>
    <row r="54" spans="1:33" x14ac:dyDescent="0.25">
      <c r="A54" s="2">
        <v>45413.942938194443</v>
      </c>
      <c r="B54" s="3" t="s">
        <v>100</v>
      </c>
      <c r="C54" s="3" t="s">
        <v>101</v>
      </c>
      <c r="D54" s="3" t="s">
        <v>35</v>
      </c>
      <c r="E54" s="3" t="s">
        <v>102</v>
      </c>
      <c r="F54" s="3" t="s">
        <v>129</v>
      </c>
      <c r="G54" s="3" t="s">
        <v>104</v>
      </c>
      <c r="H54" s="3" t="s">
        <v>44</v>
      </c>
      <c r="M54" s="3" t="s">
        <v>387</v>
      </c>
      <c r="N54" s="3" t="s">
        <v>38</v>
      </c>
      <c r="O54" s="3" t="s">
        <v>57</v>
      </c>
      <c r="P54" s="3" t="s">
        <v>42</v>
      </c>
      <c r="Q54" s="3" t="s">
        <v>388</v>
      </c>
      <c r="R54" s="3" t="s">
        <v>44</v>
      </c>
      <c r="S54" s="3" t="s">
        <v>48</v>
      </c>
      <c r="T54" s="3" t="s">
        <v>47</v>
      </c>
      <c r="U54" s="3" t="s">
        <v>81</v>
      </c>
      <c r="V54" s="3" t="s">
        <v>46</v>
      </c>
      <c r="W54" s="3" t="s">
        <v>81</v>
      </c>
      <c r="Y54" s="3" t="s">
        <v>38</v>
      </c>
      <c r="AC54" s="3" t="s">
        <v>389</v>
      </c>
      <c r="AD54" s="3" t="s">
        <v>390</v>
      </c>
      <c r="AE54" s="3" t="s">
        <v>44</v>
      </c>
    </row>
    <row r="55" spans="1:33" x14ac:dyDescent="0.25">
      <c r="A55" s="2">
        <v>45414.489205092592</v>
      </c>
      <c r="B55" s="3" t="s">
        <v>100</v>
      </c>
      <c r="C55" s="3" t="s">
        <v>391</v>
      </c>
      <c r="D55" s="3" t="s">
        <v>35</v>
      </c>
      <c r="E55" s="3" t="s">
        <v>36</v>
      </c>
      <c r="F55" s="3" t="s">
        <v>225</v>
      </c>
      <c r="G55" s="3" t="s">
        <v>38</v>
      </c>
      <c r="H55" s="3" t="s">
        <v>38</v>
      </c>
      <c r="I55" s="3" t="s">
        <v>122</v>
      </c>
      <c r="J55" s="3" t="s">
        <v>323</v>
      </c>
      <c r="M55" s="3" t="s">
        <v>392</v>
      </c>
      <c r="N55" s="3" t="s">
        <v>38</v>
      </c>
      <c r="O55" s="3" t="s">
        <v>41</v>
      </c>
      <c r="P55" s="3" t="s">
        <v>44</v>
      </c>
      <c r="AA55" s="3" t="s">
        <v>58</v>
      </c>
      <c r="AB55" s="3" t="s">
        <v>393</v>
      </c>
      <c r="AC55" s="3" t="s">
        <v>394</v>
      </c>
      <c r="AD55" s="3" t="s">
        <v>159</v>
      </c>
      <c r="AE55" s="3" t="s">
        <v>44</v>
      </c>
    </row>
    <row r="56" spans="1:33" x14ac:dyDescent="0.25">
      <c r="A56" s="2">
        <v>45414.592004629631</v>
      </c>
      <c r="B56" s="3" t="s">
        <v>33</v>
      </c>
      <c r="C56" s="3" t="s">
        <v>111</v>
      </c>
      <c r="D56" s="3" t="s">
        <v>313</v>
      </c>
      <c r="E56" s="3" t="s">
        <v>36</v>
      </c>
      <c r="F56" s="3" t="s">
        <v>314</v>
      </c>
      <c r="G56" s="3" t="s">
        <v>38</v>
      </c>
      <c r="H56" s="3" t="s">
        <v>38</v>
      </c>
      <c r="I56" s="3" t="s">
        <v>122</v>
      </c>
      <c r="M56" s="3" t="s">
        <v>395</v>
      </c>
      <c r="N56" s="3" t="s">
        <v>38</v>
      </c>
      <c r="O56" s="3" t="s">
        <v>41</v>
      </c>
      <c r="P56" s="3" t="s">
        <v>42</v>
      </c>
      <c r="Q56" s="3" t="s">
        <v>396</v>
      </c>
      <c r="R56" s="3" t="s">
        <v>80</v>
      </c>
      <c r="S56" s="3" t="s">
        <v>46</v>
      </c>
      <c r="T56" s="3" t="s">
        <v>81</v>
      </c>
      <c r="U56" s="3" t="s">
        <v>81</v>
      </c>
      <c r="V56" s="3" t="s">
        <v>46</v>
      </c>
      <c r="W56" s="3" t="s">
        <v>81</v>
      </c>
      <c r="Y56" s="3" t="s">
        <v>44</v>
      </c>
      <c r="AC56" s="3" t="s">
        <v>397</v>
      </c>
      <c r="AD56" s="3" t="s">
        <v>398</v>
      </c>
      <c r="AE56" s="3" t="s">
        <v>38</v>
      </c>
      <c r="AF56" s="3" t="s">
        <v>305</v>
      </c>
    </row>
    <row r="57" spans="1:33" x14ac:dyDescent="0.25">
      <c r="A57" s="2">
        <v>45415.585475243061</v>
      </c>
      <c r="B57" s="3" t="s">
        <v>110</v>
      </c>
      <c r="C57" s="3" t="s">
        <v>53</v>
      </c>
      <c r="D57" s="3" t="s">
        <v>35</v>
      </c>
      <c r="E57" s="3" t="s">
        <v>54</v>
      </c>
      <c r="F57" s="3" t="s">
        <v>225</v>
      </c>
      <c r="G57" s="3" t="s">
        <v>38</v>
      </c>
      <c r="H57" s="3" t="s">
        <v>38</v>
      </c>
      <c r="I57" s="3" t="s">
        <v>399</v>
      </c>
      <c r="M57" s="3" t="s">
        <v>400</v>
      </c>
      <c r="N57" s="3" t="s">
        <v>38</v>
      </c>
      <c r="O57" s="3" t="s">
        <v>154</v>
      </c>
      <c r="P57" s="3" t="s">
        <v>42</v>
      </c>
      <c r="Q57" s="3" t="s">
        <v>209</v>
      </c>
      <c r="R57" s="3" t="s">
        <v>44</v>
      </c>
      <c r="S57" s="3" t="s">
        <v>46</v>
      </c>
      <c r="T57" s="3" t="s">
        <v>46</v>
      </c>
      <c r="U57" s="3" t="s">
        <v>46</v>
      </c>
      <c r="V57" s="3" t="s">
        <v>48</v>
      </c>
      <c r="W57" s="3" t="s">
        <v>81</v>
      </c>
      <c r="Y57" s="3" t="s">
        <v>38</v>
      </c>
      <c r="AC57" s="3" t="s">
        <v>401</v>
      </c>
      <c r="AD57" s="3" t="s">
        <v>402</v>
      </c>
      <c r="AE57" s="3" t="s">
        <v>38</v>
      </c>
      <c r="AF57" s="3" t="s">
        <v>403</v>
      </c>
    </row>
    <row r="58" spans="1:33" x14ac:dyDescent="0.25">
      <c r="A58" s="2">
        <v>45416.072317141203</v>
      </c>
      <c r="B58" s="3" t="s">
        <v>168</v>
      </c>
      <c r="C58" s="3" t="s">
        <v>186</v>
      </c>
      <c r="D58" s="3" t="s">
        <v>282</v>
      </c>
      <c r="E58" s="3" t="s">
        <v>54</v>
      </c>
      <c r="F58" s="3" t="s">
        <v>191</v>
      </c>
      <c r="G58" s="3" t="s">
        <v>38</v>
      </c>
      <c r="H58" s="3" t="s">
        <v>44</v>
      </c>
      <c r="M58" s="3" t="s">
        <v>404</v>
      </c>
      <c r="N58" s="3" t="s">
        <v>38</v>
      </c>
      <c r="O58" s="3" t="s">
        <v>43</v>
      </c>
      <c r="P58" s="3" t="s">
        <v>44</v>
      </c>
      <c r="AA58" s="3" t="s">
        <v>58</v>
      </c>
      <c r="AB58" s="3" t="s">
        <v>405</v>
      </c>
      <c r="AC58" s="3" t="s">
        <v>406</v>
      </c>
      <c r="AD58" s="3" t="s">
        <v>407</v>
      </c>
      <c r="AE58" s="3" t="s">
        <v>38</v>
      </c>
      <c r="AF58" s="3" t="s">
        <v>408</v>
      </c>
      <c r="AG58" s="3" t="s">
        <v>409</v>
      </c>
    </row>
    <row r="59" spans="1:33" x14ac:dyDescent="0.25">
      <c r="A59" s="2">
        <v>45418.475419930561</v>
      </c>
      <c r="B59" s="3" t="s">
        <v>89</v>
      </c>
      <c r="C59" s="3" t="s">
        <v>169</v>
      </c>
      <c r="D59" s="3" t="s">
        <v>35</v>
      </c>
      <c r="E59" s="3" t="s">
        <v>54</v>
      </c>
      <c r="F59" s="3" t="s">
        <v>135</v>
      </c>
      <c r="G59" s="3" t="s">
        <v>38</v>
      </c>
      <c r="H59" s="3" t="s">
        <v>38</v>
      </c>
      <c r="I59" s="3" t="s">
        <v>122</v>
      </c>
      <c r="M59" s="3" t="s">
        <v>410</v>
      </c>
      <c r="N59" s="3" t="s">
        <v>38</v>
      </c>
      <c r="O59" s="3" t="s">
        <v>144</v>
      </c>
      <c r="P59" s="3" t="s">
        <v>42</v>
      </c>
      <c r="Q59" s="3" t="s">
        <v>411</v>
      </c>
      <c r="R59" s="3" t="s">
        <v>151</v>
      </c>
      <c r="S59" s="3" t="s">
        <v>45</v>
      </c>
      <c r="T59" s="3" t="s">
        <v>47</v>
      </c>
      <c r="U59" s="3" t="s">
        <v>47</v>
      </c>
      <c r="V59" s="3" t="s">
        <v>81</v>
      </c>
      <c r="W59" s="3" t="s">
        <v>45</v>
      </c>
      <c r="Y59" s="3" t="s">
        <v>38</v>
      </c>
      <c r="AC59" s="3" t="s">
        <v>412</v>
      </c>
      <c r="AD59" s="3" t="s">
        <v>413</v>
      </c>
      <c r="AE59" s="3" t="s">
        <v>38</v>
      </c>
      <c r="AF59" s="3" t="s">
        <v>414</v>
      </c>
    </row>
    <row r="60" spans="1:33" x14ac:dyDescent="0.25">
      <c r="A60" s="2">
        <v>45418.582847824073</v>
      </c>
      <c r="B60" s="3" t="s">
        <v>110</v>
      </c>
      <c r="C60" s="3" t="s">
        <v>120</v>
      </c>
      <c r="D60" s="3" t="s">
        <v>313</v>
      </c>
      <c r="E60" s="3" t="s">
        <v>128</v>
      </c>
      <c r="F60" s="3" t="s">
        <v>191</v>
      </c>
      <c r="G60" s="3" t="s">
        <v>38</v>
      </c>
      <c r="H60" s="3" t="s">
        <v>44</v>
      </c>
      <c r="M60" s="3" t="s">
        <v>415</v>
      </c>
      <c r="N60" s="3" t="s">
        <v>44</v>
      </c>
      <c r="O60" s="3" t="s">
        <v>43</v>
      </c>
      <c r="P60" s="3" t="s">
        <v>44</v>
      </c>
      <c r="AA60" s="3" t="s">
        <v>416</v>
      </c>
      <c r="AB60" s="3" t="s">
        <v>417</v>
      </c>
      <c r="AC60" s="3" t="s">
        <v>418</v>
      </c>
      <c r="AD60" s="3" t="s">
        <v>419</v>
      </c>
      <c r="AE60" s="3" t="s">
        <v>44</v>
      </c>
    </row>
    <row r="61" spans="1:33" x14ac:dyDescent="0.25">
      <c r="A61" s="2">
        <v>45419.703884212962</v>
      </c>
      <c r="B61" s="3" t="s">
        <v>100</v>
      </c>
      <c r="C61" s="3" t="s">
        <v>101</v>
      </c>
      <c r="D61" s="3" t="s">
        <v>35</v>
      </c>
      <c r="E61" s="3" t="s">
        <v>102</v>
      </c>
      <c r="F61" s="3" t="s">
        <v>129</v>
      </c>
      <c r="G61" s="3" t="s">
        <v>104</v>
      </c>
      <c r="H61" s="3" t="s">
        <v>44</v>
      </c>
      <c r="M61" s="3" t="s">
        <v>420</v>
      </c>
      <c r="N61" s="3" t="s">
        <v>38</v>
      </c>
      <c r="O61" s="3" t="s">
        <v>41</v>
      </c>
      <c r="P61" s="3" t="s">
        <v>42</v>
      </c>
      <c r="Q61" s="3" t="s">
        <v>41</v>
      </c>
      <c r="R61" s="3" t="s">
        <v>63</v>
      </c>
      <c r="S61" s="3" t="s">
        <v>47</v>
      </c>
      <c r="T61" s="3" t="s">
        <v>45</v>
      </c>
      <c r="U61" s="3" t="s">
        <v>46</v>
      </c>
      <c r="V61" s="3" t="s">
        <v>46</v>
      </c>
      <c r="W61" s="3" t="s">
        <v>45</v>
      </c>
      <c r="Y61" s="3" t="s">
        <v>38</v>
      </c>
      <c r="AC61" s="3" t="s">
        <v>421</v>
      </c>
      <c r="AD61" s="3" t="s">
        <v>422</v>
      </c>
      <c r="AE61" s="3" t="s">
        <v>44</v>
      </c>
    </row>
    <row r="62" spans="1:33" x14ac:dyDescent="0.25">
      <c r="A62" s="2">
        <v>45420.495258680559</v>
      </c>
      <c r="B62" s="3" t="s">
        <v>89</v>
      </c>
      <c r="C62" s="3" t="s">
        <v>111</v>
      </c>
      <c r="D62" s="3" t="s">
        <v>35</v>
      </c>
      <c r="E62" s="3" t="s">
        <v>36</v>
      </c>
      <c r="F62" s="3" t="s">
        <v>135</v>
      </c>
      <c r="G62" s="3" t="s">
        <v>38</v>
      </c>
      <c r="H62" s="3" t="s">
        <v>38</v>
      </c>
      <c r="I62" s="3" t="s">
        <v>423</v>
      </c>
      <c r="J62" s="3" t="s">
        <v>61</v>
      </c>
      <c r="M62" s="3" t="s">
        <v>424</v>
      </c>
      <c r="N62" s="3" t="s">
        <v>38</v>
      </c>
      <c r="O62" s="3" t="s">
        <v>154</v>
      </c>
      <c r="P62" s="3" t="s">
        <v>44</v>
      </c>
      <c r="AA62" s="3" t="s">
        <v>58</v>
      </c>
      <c r="AB62" s="3" t="s">
        <v>425</v>
      </c>
      <c r="AC62" s="3" t="s">
        <v>426</v>
      </c>
      <c r="AD62" s="3" t="s">
        <v>427</v>
      </c>
      <c r="AE62" s="3" t="s">
        <v>38</v>
      </c>
      <c r="AF62" s="3" t="s">
        <v>76</v>
      </c>
      <c r="AG62" s="3" t="s">
        <v>428</v>
      </c>
    </row>
    <row r="63" spans="1:33" x14ac:dyDescent="0.25">
      <c r="A63" s="2">
        <v>45422.487465694445</v>
      </c>
      <c r="B63" s="3" t="s">
        <v>110</v>
      </c>
      <c r="C63" s="3" t="s">
        <v>111</v>
      </c>
      <c r="D63" s="3" t="s">
        <v>35</v>
      </c>
      <c r="E63" s="3" t="s">
        <v>128</v>
      </c>
      <c r="F63" s="3" t="s">
        <v>121</v>
      </c>
      <c r="G63" s="3" t="s">
        <v>38</v>
      </c>
      <c r="H63" s="3" t="s">
        <v>44</v>
      </c>
      <c r="M63" s="3" t="s">
        <v>429</v>
      </c>
      <c r="N63" s="3" t="s">
        <v>44</v>
      </c>
      <c r="O63" s="3" t="s">
        <v>57</v>
      </c>
      <c r="P63" s="3" t="s">
        <v>44</v>
      </c>
      <c r="AA63" s="3" t="s">
        <v>58</v>
      </c>
      <c r="AB63" s="3" t="s">
        <v>430</v>
      </c>
      <c r="AC63" s="3" t="s">
        <v>431</v>
      </c>
      <c r="AD63" s="3" t="s">
        <v>432</v>
      </c>
      <c r="AE63" s="3" t="s">
        <v>38</v>
      </c>
      <c r="AF63" s="3" t="s">
        <v>59</v>
      </c>
    </row>
    <row r="64" spans="1:33" x14ac:dyDescent="0.25">
      <c r="A64" s="2">
        <v>45426.404475902775</v>
      </c>
      <c r="B64" s="3" t="s">
        <v>110</v>
      </c>
      <c r="C64" s="3" t="s">
        <v>111</v>
      </c>
      <c r="D64" s="3" t="s">
        <v>35</v>
      </c>
      <c r="E64" s="3" t="s">
        <v>36</v>
      </c>
      <c r="F64" s="3" t="s">
        <v>191</v>
      </c>
      <c r="G64" s="3" t="s">
        <v>38</v>
      </c>
      <c r="H64" s="3" t="s">
        <v>44</v>
      </c>
      <c r="M64" s="3" t="s">
        <v>433</v>
      </c>
      <c r="N64" s="3" t="s">
        <v>44</v>
      </c>
      <c r="O64" s="3" t="s">
        <v>434</v>
      </c>
      <c r="P64" s="3" t="s">
        <v>44</v>
      </c>
      <c r="AA64" s="3" t="s">
        <v>58</v>
      </c>
      <c r="AB64" s="3" t="s">
        <v>435</v>
      </c>
      <c r="AC64" s="3" t="s">
        <v>436</v>
      </c>
      <c r="AD64" s="3" t="s">
        <v>437</v>
      </c>
      <c r="AE64" s="3"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O29"/>
  <sheetViews>
    <sheetView topLeftCell="F1" workbookViewId="0">
      <selection activeCell="F3" sqref="F3"/>
    </sheetView>
  </sheetViews>
  <sheetFormatPr defaultColWidth="12.6640625" defaultRowHeight="15.75" customHeight="1" x14ac:dyDescent="0.25"/>
  <cols>
    <col min="30" max="30" width="68.77734375" customWidth="1"/>
  </cols>
  <sheetData>
    <row r="1" spans="1:41" x14ac:dyDescent="0.25">
      <c r="A1" s="4" t="str">
        <f ca="1">IFERROR(__xludf.DUMMYFUNCTION("QUERY('Formulierreacties 1'!1:64,""select * where I = 'No'"",1)"),"Tijdstempel")</f>
        <v>Tijdstempel</v>
      </c>
      <c r="B1" s="4" t="str">
        <f ca="1">IFERROR(__xludf.DUMMYFUNCTION("""COMPUTED_VALUE"""),"What type of organization are you affiliated with?
In case of several options, select the one you identify most with.")</f>
        <v>What type of organization are you affiliated with?
In case of several options, select the one you identify most with.</v>
      </c>
      <c r="C1" s="4" t="str">
        <f ca="1">IFERROR(__xludf.DUMMYFUNCTION("""COMPUTED_VALUE"""),"What is your domain or area of expertise? 
In case of several roles, select the option you identify most with.")</f>
        <v>What is your domain or area of expertise? 
In case of several roles, select the option you identify most with.</v>
      </c>
      <c r="D1" s="4" t="str">
        <f ca="1">IFERROR(__xludf.DUMMYFUNCTION("""COMPUTED_VALUE"""),"Country of employment or study?")</f>
        <v>Country of employment or study?</v>
      </c>
      <c r="E1" s="4" t="str">
        <f ca="1">IFERROR(__xludf.DUMMYFUNCTION("""COMPUTED_VALUE"""),"How do you identify yourself?")</f>
        <v>How do you identify yourself?</v>
      </c>
      <c r="F1" s="4" t="str">
        <f ca="1">IFERROR(__xludf.DUMMYFUNCTION("""COMPUTED_VALUE"""),"Wat is your age?")</f>
        <v>Wat is your age?</v>
      </c>
      <c r="G1" s="4" t="str">
        <f ca="1">IFERROR(__xludf.DUMMYFUNCTION("""COMPUTED_VALUE"""),"Which Mmmonk IIIF Workshop did you attend?")</f>
        <v>Which Mmmonk IIIF Workshop did you attend?</v>
      </c>
      <c r="H1" s="4" t="str">
        <f ca="1">IFERROR(__xludf.DUMMYFUNCTION("""COMPUTED_VALUE"""),"Were you aware of the existence of IIIF before you registered for the Mmmonk IIIF Workshop?")</f>
        <v>Were you aware of the existence of IIIF before you registered for the Mmmonk IIIF Workshop?</v>
      </c>
      <c r="I1" s="4" t="str">
        <f ca="1">IFERROR(__xludf.DUMMYFUNCTION("""COMPUTED_VALUE"""),"Beyond being simply aware of its existence, did you have any prior knowledge about IIIF  before you registered for the Mmmonk IIIF Workshop?")</f>
        <v>Beyond being simply aware of its existence, did you have any prior knowledge about IIIF  before you registered for the Mmmonk IIIF Workshop?</v>
      </c>
      <c r="J1" s="4" t="str">
        <f ca="1">IFERROR(__xludf.DUMMYFUNCTION("""COMPUTED_VALUE"""),"How did you learn about IIIF before the Mmmonk IIIF Workshop?")</f>
        <v>How did you learn about IIIF before the Mmmonk IIIF Workshop?</v>
      </c>
      <c r="K1" s="4" t="str">
        <f ca="1">IFERROR(__xludf.DUMMYFUNCTION("""COMPUTED_VALUE"""),"If you learned about IIIF by word of mouth before the Mmmonk IIIF Workshop: who introduced you?")</f>
        <v>If you learned about IIIF by word of mouth before the Mmmonk IIIF Workshop: who introduced you?</v>
      </c>
      <c r="L1" s="4" t="str">
        <f ca="1">IFERROR(__xludf.DUMMYFUNCTION("""COMPUTED_VALUE"""),"If you learned about IIIF through a workshop (prior to the Mmmonk IIIF Workshop), which workshop did you attend?")</f>
        <v>If you learned about IIIF through a workshop (prior to the Mmmonk IIIF Workshop), which workshop did you attend?</v>
      </c>
      <c r="M1" s="4" t="str">
        <f ca="1">IFERROR(__xludf.DUMMYFUNCTION("""COMPUTED_VALUE"""),"If you learned about IIIF by yourself, which sources did you use? ")</f>
        <v xml:space="preserve">If you learned about IIIF by yourself, which sources did you use? </v>
      </c>
      <c r="N1" s="4" t="str">
        <f ca="1">IFERROR(__xludf.DUMMYFUNCTION("""COMPUTED_VALUE"""),"Can you briefly explain in your own words what IIIF is? ")</f>
        <v xml:space="preserve">Can you briefly explain in your own words what IIIF is? </v>
      </c>
      <c r="O1" s="4" t="str">
        <f ca="1">IFERROR(__xludf.DUMMYFUNCTION("""COMPUTED_VALUE"""),"After attending the workshop, did you intend to apply the IIIF tips and tricks from the workshop?")</f>
        <v>After attending the workshop, did you intend to apply the IIIF tips and tricks from the workshop?</v>
      </c>
      <c r="P1" s="4" t="str">
        <f ca="1">IFERROR(__xludf.DUMMYFUNCTION("""COMPUTED_VALUE"""),"Which tool or application demonstrated in the workshop seemed most useful or promising for your work?
For a quick reminder of what we've covered, go to https://www.mmmonk.be/en/about-iiif/workshops. ")</f>
        <v xml:space="preserve">Which tool or application demonstrated in the workshop seemed most useful or promising for your work?
For a quick reminder of what we've covered, go to https://www.mmmonk.be/en/about-iiif/workshops. </v>
      </c>
      <c r="Q1" s="4" t="str">
        <f ca="1">IFERROR(__xludf.DUMMYFUNCTION("""COMPUTED_VALUE"""),"Did you effectively start using IIIF (more) after attending the Mmmonk IIIF Workshop?")</f>
        <v>Did you effectively start using IIIF (more) after attending the Mmmonk IIIF Workshop?</v>
      </c>
      <c r="R1" s="4" t="str">
        <f ca="1">IFERROR(__xludf.DUMMYFUNCTION("""COMPUTED_VALUE"""),"Which tools or applications did you start using?")</f>
        <v>Which tools or applications did you start using?</v>
      </c>
      <c r="S1" s="4" t="str">
        <f ca="1">IFERROR(__xludf.DUMMYFUNCTION("""COMPUTED_VALUE"""),"Did you apply the knowledge gained in the workshop in any other way?")</f>
        <v>Did you apply the knowledge gained in the workshop in any other way?</v>
      </c>
      <c r="T1" s="4" t="str">
        <f ca="1">IFERROR(__xludf.DUMMYFUNCTION("""COMPUTED_VALUE"""),"What is your main reason or motivation for using IIIF?
You will be able to add other reasons in the following question. [Allows me to do things I wouldn't be able to do otherwise, e.g. comparing objects]")</f>
        <v>What is your main reason or motivation for using IIIF?
You will be able to add other reasons in the following question. [Allows me to do things I wouldn't be able to do otherwise, e.g. comparing objects]</v>
      </c>
      <c r="U1" s="4" t="str">
        <f ca="1">IFERROR(__xludf.DUMMYFUNCTION("""COMPUTED_VALUE"""),"What is your main reason or motivation for using IIIF?
You will be able to add other reasons in the following question. [Save space on my local drive or in my cloud]")</f>
        <v>What is your main reason or motivation for using IIIF?
You will be able to add other reasons in the following question. [Save space on my local drive or in my cloud]</v>
      </c>
      <c r="V1" s="4" t="str">
        <f ca="1">IFERROR(__xludf.DUMMYFUNCTION("""COMPUTED_VALUE"""),"What is your main reason or motivation for using IIIF?
You will be able to add other reasons in the following question. [Better viewers than institutional viewers]")</f>
        <v>What is your main reason or motivation for using IIIF?
You will be able to add other reasons in the following question. [Better viewers than institutional viewers]</v>
      </c>
      <c r="W1" s="4" t="str">
        <f ca="1">IFERROR(__xludf.DUMMYFUNCTION("""COMPUTED_VALUE"""),"What is your main reason or motivation for using IIIF?
You will be able to add other reasons in the following question. [It's mandatory, e.g. I participate in a collaborative project that uses IIIF, I have to create a guided viewing as part of the curricu"&amp;"lum… ]")</f>
        <v>What is your main reason or motivation for using IIIF?
You will be able to add other reasons in the following question. [It's mandatory, e.g. I participate in a collaborative project that uses IIIF, I have to create a guided viewing as part of the curriculum… ]</v>
      </c>
      <c r="X1" s="4" t="str">
        <f ca="1">IFERROR(__xludf.DUMMYFUNCTION("""COMPUTED_VALUE"""),"What is your main reason or motivation for using IIIF?
You will be able to add other reasons in the following question. [Reduce carbon footprint]")</f>
        <v>What is your main reason or motivation for using IIIF?
You will be able to add other reasons in the following question. [Reduce carbon footprint]</v>
      </c>
      <c r="Y1" s="4" t="str">
        <f ca="1">IFERROR(__xludf.DUMMYFUNCTION("""COMPUTED_VALUE"""),"Do you have other reasons for using IIIF?")</f>
        <v>Do you have other reasons for using IIIF?</v>
      </c>
      <c r="Z1" s="4" t="str">
        <f ca="1">IFERROR(__xludf.DUMMYFUNCTION("""COMPUTED_VALUE"""),"Do you find it easy to find IIIF manifests URLs?
Quick reminder: The IIIF manifest URL is the URL you copy and paste in order to import the digital data for an object into a tool or application.")</f>
        <v>Do you find it easy to find IIIF manifests URLs?
Quick reminder: The IIIF manifest URL is the URL you copy and paste in order to import the digital data for an object into a tool or application.</v>
      </c>
      <c r="AA1" s="4" t="str">
        <f ca="1">IFERROR(__xludf.DUMMYFUNCTION("""COMPUTED_VALUE"""),"Do you have any ideas or recommendations to make it easier to find IIIF manifest URLs?")</f>
        <v>Do you have any ideas or recommendations to make it easier to find IIIF manifest URLs?</v>
      </c>
      <c r="AB1" s="4" t="str">
        <f ca="1">IFERROR(__xludf.DUMMYFUNCTION("""COMPUTED_VALUE"""),"What is your main reason for not using IIIF?")</f>
        <v>What is your main reason for not using IIIF?</v>
      </c>
      <c r="AC1" s="4" t="str">
        <f ca="1">IFERROR(__xludf.DUMMYFUNCTION("""COMPUTED_VALUE"""),"What is the key element of change you would need to see before you would start using IIIF for your work?")</f>
        <v>What is the key element of change you would need to see before you would start using IIIF for your work?</v>
      </c>
      <c r="AD1" s="4" t="str">
        <f ca="1">IFERROR(__xludf.DUMMYFUNCTION("""COMPUTED_VALUE"""),"What aspect of the workshop did you like most? 
What makes this workshop a succes? This can be about methodology, communication, format, ...")</f>
        <v>What aspect of the workshop did you like most? 
What makes this workshop a succes? This can be about methodology, communication, format, ...</v>
      </c>
      <c r="AE1" s="4" t="str">
        <f ca="1">IFERROR(__xludf.DUMMYFUNCTION("""COMPUTED_VALUE"""),"What aspect of the workshop did you like the least?
What do we need to change to improve the impact of our workshop?")</f>
        <v>What aspect of the workshop did you like the least?
What do we need to change to improve the impact of our workshop?</v>
      </c>
      <c r="AF1" s="4" t="str">
        <f ca="1">IFERROR(__xludf.DUMMYFUNCTION("""COMPUTED_VALUE"""),"Have you taken other training or sought other information to gain knowledge about IIIF?")</f>
        <v>Have you taken other training or sought other information to gain knowledge about IIIF?</v>
      </c>
      <c r="AG1" s="4" t="str">
        <f ca="1">IFERROR(__xludf.DUMMYFUNCTION("""COMPUTED_VALUE"""),"If so, which ?")</f>
        <v>If so, which ?</v>
      </c>
      <c r="AH1" s="4" t="str">
        <f ca="1">IFERROR(__xludf.DUMMYFUNCTION("""COMPUTED_VALUE"""),"Is there anything else you would like to share with us?")</f>
        <v>Is there anything else you would like to share with us?</v>
      </c>
      <c r="AI1" s="4" t="str">
        <f ca="1">IFERROR(__xludf.DUMMYFUNCTION("""COMPUTED_VALUE"""),"Would you like to be kept informed of the results of this survey? If so, fill in your e-mail address.")</f>
        <v>Would you like to be kept informed of the results of this survey? If so, fill in your e-mail address.</v>
      </c>
      <c r="AJ1" s="4" t="str">
        <f ca="1">IFERROR(__xludf.DUMMYFUNCTION("""COMPUTED_VALUE"""),"")</f>
        <v/>
      </c>
      <c r="AK1" s="4" t="str">
        <f ca="1">IFERROR(__xludf.DUMMYFUNCTION("""COMPUTED_VALUE"""),"")</f>
        <v/>
      </c>
      <c r="AL1" s="4" t="str">
        <f ca="1">IFERROR(__xludf.DUMMYFUNCTION("""COMPUTED_VALUE"""),"")</f>
        <v/>
      </c>
      <c r="AM1" s="4" t="str">
        <f ca="1">IFERROR(__xludf.DUMMYFUNCTION("""COMPUTED_VALUE"""),"")</f>
        <v/>
      </c>
      <c r="AN1" s="4" t="str">
        <f ca="1">IFERROR(__xludf.DUMMYFUNCTION("""COMPUTED_VALUE"""),"")</f>
        <v/>
      </c>
      <c r="AO1" s="4" t="str">
        <f ca="1">IFERROR(__xludf.DUMMYFUNCTION("""COMPUTED_VALUE"""),"")</f>
        <v/>
      </c>
    </row>
    <row r="2" spans="1:41" x14ac:dyDescent="0.25">
      <c r="A2" s="5">
        <f ca="1">IFERROR(__xludf.DUMMYFUNCTION("""COMPUTED_VALUE"""),45376.583458125)</f>
        <v>45376.583458125002</v>
      </c>
      <c r="B2" s="4" t="str">
        <f ca="1">IFERROR(__xludf.DUMMYFUNCTION("""COMPUTED_VALUE"""),"Supporting organisation or service provider")</f>
        <v>Supporting organisation or service provider</v>
      </c>
      <c r="C2" s="4" t="str">
        <f ca="1">IFERROR(__xludf.DUMMYFUNCTION("""COMPUTED_VALUE"""),"Teaching")</f>
        <v>Teaching</v>
      </c>
      <c r="D2" s="4" t="str">
        <f ca="1">IFERROR(__xludf.DUMMYFUNCTION("""COMPUTED_VALUE"""),"Belgium")</f>
        <v>Belgium</v>
      </c>
      <c r="E2" s="4"/>
      <c r="F2" s="4" t="str">
        <f ca="1">IFERROR(__xludf.DUMMYFUNCTION("""COMPUTED_VALUE"""),"25-34")</f>
        <v>25-34</v>
      </c>
      <c r="G2" s="4" t="str">
        <f ca="1">IFERROR(__xludf.DUMMYFUNCTION("""COMPUTED_VALUE"""),"meemoo, Flemish institute for archives, 2023-12-14")</f>
        <v>meemoo, Flemish institute for archives, 2023-12-14</v>
      </c>
      <c r="H2" s="4" t="str">
        <f ca="1">IFERROR(__xludf.DUMMYFUNCTION("""COMPUTED_VALUE"""),"Yes")</f>
        <v>Yes</v>
      </c>
      <c r="I2" s="4" t="str">
        <f ca="1">IFERROR(__xludf.DUMMYFUNCTION("""COMPUTED_VALUE"""),"No")</f>
        <v>No</v>
      </c>
      <c r="J2" s="4"/>
      <c r="K2" s="4"/>
      <c r="L2" s="4"/>
      <c r="M2" s="4"/>
      <c r="N2" s="4" t="str">
        <f ca="1">IFERROR(__xludf.DUMMYFUNCTION("""COMPUTED_VALUE"""),"A standard to share and integrate images across specific applications")</f>
        <v>A standard to share and integrate images across specific applications</v>
      </c>
      <c r="O2" s="4" t="str">
        <f ca="1">IFERROR(__xludf.DUMMYFUNCTION("""COMPUTED_VALUE"""),"Yes")</f>
        <v>Yes</v>
      </c>
      <c r="P2" s="4" t="str">
        <f ca="1">IFERROR(__xludf.DUMMYFUNCTION("""COMPUTED_VALUE"""),"Create a virtual tour in a.o. Exhibit")</f>
        <v>Create a virtual tour in a.o. Exhibit</v>
      </c>
      <c r="Q2" s="4" t="str">
        <f ca="1">IFERROR(__xludf.DUMMYFUNCTION("""COMPUTED_VALUE"""),"Yes (or I have specific plans to use it in the future)")</f>
        <v>Yes (or I have specific plans to use it in the future)</v>
      </c>
      <c r="R2" s="4" t="str">
        <f ca="1">IFERROR(__xludf.DUMMYFUNCTION("""COMPUTED_VALUE"""),"Share detail on image with Universal Viewer, Create a virtual tour in a.o. Exhibit")</f>
        <v>Share detail on image with Universal Viewer, Create a virtual tour in a.o. Exhibit</v>
      </c>
      <c r="S2" s="4" t="str">
        <f ca="1">IFERROR(__xludf.DUMMYFUNCTION("""COMPUTED_VALUE"""),"Yes, I promoted IIIF to researchers, colleagues, students and/or external stakeholders")</f>
        <v>Yes, I promoted IIIF to researchers, colleagues, students and/or external stakeholders</v>
      </c>
      <c r="T2" s="4" t="str">
        <f ca="1">IFERROR(__xludf.DUMMYFUNCTION("""COMPUTED_VALUE"""),"No opinion")</f>
        <v>No opinion</v>
      </c>
      <c r="U2" s="4" t="str">
        <f ca="1">IFERROR(__xludf.DUMMYFUNCTION("""COMPUTED_VALUE"""),"No opinion")</f>
        <v>No opinion</v>
      </c>
      <c r="V2" s="4" t="str">
        <f ca="1">IFERROR(__xludf.DUMMYFUNCTION("""COMPUTED_VALUE"""),"No opinion")</f>
        <v>No opinion</v>
      </c>
      <c r="W2" s="4" t="str">
        <f ca="1">IFERROR(__xludf.DUMMYFUNCTION("""COMPUTED_VALUE"""),"No opinion")</f>
        <v>No opinion</v>
      </c>
      <c r="X2" s="4" t="str">
        <f ca="1">IFERROR(__xludf.DUMMYFUNCTION("""COMPUTED_VALUE"""),"No opinion")</f>
        <v>No opinion</v>
      </c>
      <c r="Y2" s="4"/>
      <c r="Z2" s="4" t="str">
        <f ca="1">IFERROR(__xludf.DUMMYFUNCTION("""COMPUTED_VALUE"""),"Yes")</f>
        <v>Yes</v>
      </c>
      <c r="AA2" s="4"/>
      <c r="AB2" s="4"/>
      <c r="AC2" s="4"/>
      <c r="AD2" s="4" t="str">
        <f ca="1">IFERROR(__xludf.DUMMYFUNCTION("""COMPUTED_VALUE"""),"The immediate application of the possibilities")</f>
        <v>The immediate application of the possibilities</v>
      </c>
      <c r="AE2" s="4" t="str">
        <f ca="1">IFERROR(__xludf.DUMMYFUNCTION("""COMPUTED_VALUE"""),"/")</f>
        <v>/</v>
      </c>
      <c r="AF2" s="4" t="str">
        <f ca="1">IFERROR(__xludf.DUMMYFUNCTION("""COMPUTED_VALUE"""),"No")</f>
        <v>No</v>
      </c>
      <c r="AG2" s="4"/>
      <c r="AH2" s="4"/>
      <c r="AI2" s="4"/>
      <c r="AJ2" s="4"/>
      <c r="AK2" s="4"/>
      <c r="AL2" s="4"/>
      <c r="AM2" s="4"/>
      <c r="AN2" s="4"/>
      <c r="AO2" s="4"/>
    </row>
    <row r="3" spans="1:41" x14ac:dyDescent="0.25">
      <c r="A3" s="5">
        <f ca="1">IFERROR(__xludf.DUMMYFUNCTION("""COMPUTED_VALUE"""),45395.3168779282)</f>
        <v>45395.316877928199</v>
      </c>
      <c r="B3" s="4" t="str">
        <f ca="1">IFERROR(__xludf.DUMMYFUNCTION("""COMPUTED_VALUE"""),"University (faculty)")</f>
        <v>University (faculty)</v>
      </c>
      <c r="C3" s="4" t="str">
        <f ca="1">IFERROR(__xludf.DUMMYFUNCTION("""COMPUTED_VALUE"""),"Student")</f>
        <v>Student</v>
      </c>
      <c r="D3" s="4" t="str">
        <f ca="1">IFERROR(__xludf.DUMMYFUNCTION("""COMPUTED_VALUE"""),"Belgium")</f>
        <v>Belgium</v>
      </c>
      <c r="E3" s="4"/>
      <c r="F3" s="4" t="str">
        <f ca="1">IFERROR(__xludf.DUMMYFUNCTION("""COMPUTED_VALUE"""),"18-24")</f>
        <v>18-24</v>
      </c>
      <c r="G3" s="4" t="str">
        <f ca="1">IFERROR(__xludf.DUMMYFUNCTION("""COMPUTED_VALUE"""),"Library of Congress, Dr. Fenella France, 2024-03-14")</f>
        <v>Library of Congress, Dr. Fenella France, 2024-03-14</v>
      </c>
      <c r="H3" s="4" t="str">
        <f ca="1">IFERROR(__xludf.DUMMYFUNCTION("""COMPUTED_VALUE"""),"No, I had never heard the IIIF acronym or seen/noticed the IIIF logo before I registered for the Mmmonk IIIF Workshop.")</f>
        <v>No, I had never heard the IIIF acronym or seen/noticed the IIIF logo before I registered for the Mmmonk IIIF Workshop.</v>
      </c>
      <c r="I3" s="4" t="str">
        <f ca="1">IFERROR(__xludf.DUMMYFUNCTION("""COMPUTED_VALUE"""),"No")</f>
        <v>No</v>
      </c>
      <c r="J3" s="4"/>
      <c r="K3" s="4"/>
      <c r="L3" s="4"/>
      <c r="M3" s="4"/>
      <c r="N3" s="4" t="str">
        <f ca="1">IFERROR(__xludf.DUMMYFUNCTION("""COMPUTED_VALUE"""),"IIIF is a program which enables the rendering of high quality digital images and audio files from different servers and institutions in a consistent manner. It is thus more user friendly, as it does not necessitate the opening of multiple browsers or prog"&amp;"rams etc. ")</f>
        <v xml:space="preserve">IIIF is a program which enables the rendering of high quality digital images and audio files from different servers and institutions in a consistent manner. It is thus more user friendly, as it does not necessitate the opening of multiple browsers or programs etc. </v>
      </c>
      <c r="O3" s="4" t="str">
        <f ca="1">IFERROR(__xludf.DUMMYFUNCTION("""COMPUTED_VALUE"""),"Yes")</f>
        <v>Yes</v>
      </c>
      <c r="P3" s="4" t="str">
        <f ca="1">IFERROR(__xludf.DUMMYFUNCTION("""COMPUTED_VALUE"""),"Compare items in the Mirador Viewer")</f>
        <v>Compare items in the Mirador Viewer</v>
      </c>
      <c r="Q3" s="4" t="str">
        <f ca="1">IFERROR(__xludf.DUMMYFUNCTION("""COMPUTED_VALUE"""),"Yes (or I have specific plans to use it in the future)")</f>
        <v>Yes (or I have specific plans to use it in the future)</v>
      </c>
      <c r="R3" s="4" t="str">
        <f ca="1">IFERROR(__xludf.DUMMYFUNCTION("""COMPUTED_VALUE"""),"Create a virtual tour in a.o. Exhibit")</f>
        <v>Create a virtual tour in a.o. Exhibit</v>
      </c>
      <c r="S3" s="4" t="str">
        <f ca="1">IFERROR(__xludf.DUMMYFUNCTION("""COMPUTED_VALUE"""),"No")</f>
        <v>No</v>
      </c>
      <c r="T3" s="4" t="str">
        <f ca="1">IFERROR(__xludf.DUMMYFUNCTION("""COMPUTED_VALUE"""),"Strongly agree")</f>
        <v>Strongly agree</v>
      </c>
      <c r="U3" s="4" t="str">
        <f ca="1">IFERROR(__xludf.DUMMYFUNCTION("""COMPUTED_VALUE"""),"Strongly agree")</f>
        <v>Strongly agree</v>
      </c>
      <c r="V3" s="4" t="str">
        <f ca="1">IFERROR(__xludf.DUMMYFUNCTION("""COMPUTED_VALUE"""),"Agree")</f>
        <v>Agree</v>
      </c>
      <c r="W3" s="4" t="str">
        <f ca="1">IFERROR(__xludf.DUMMYFUNCTION("""COMPUTED_VALUE"""),"Neutral")</f>
        <v>Neutral</v>
      </c>
      <c r="X3" s="4" t="str">
        <f ca="1">IFERROR(__xludf.DUMMYFUNCTION("""COMPUTED_VALUE"""),"Agree")</f>
        <v>Agree</v>
      </c>
      <c r="Y3" s="4"/>
      <c r="Z3" s="4" t="str">
        <f ca="1">IFERROR(__xludf.DUMMYFUNCTION("""COMPUTED_VALUE"""),"Yes")</f>
        <v>Yes</v>
      </c>
      <c r="AA3" s="4"/>
      <c r="AB3" s="4"/>
      <c r="AC3" s="4"/>
      <c r="AD3" s="4" t="str">
        <f ca="1">IFERROR(__xludf.DUMMYFUNCTION("""COMPUTED_VALUE"""),"The interactivity made it a successful learning experience. ")</f>
        <v xml:space="preserve">The interactivity made it a successful learning experience. </v>
      </c>
      <c r="AE3" s="4" t="str">
        <f ca="1">IFERROR(__xludf.DUMMYFUNCTION("""COMPUTED_VALUE"""),"Mainly it being online, though the international audience necessitates it.")</f>
        <v>Mainly it being online, though the international audience necessitates it.</v>
      </c>
      <c r="AF3" s="4" t="str">
        <f ca="1">IFERROR(__xludf.DUMMYFUNCTION("""COMPUTED_VALUE"""),"Yes")</f>
        <v>Yes</v>
      </c>
      <c r="AG3" s="4" t="str">
        <f ca="1">IFERROR(__xludf.DUMMYFUNCTION("""COMPUTED_VALUE"""),"MMMONK website (https://www.mmmonk.be)")</f>
        <v>MMMONK website (https://www.mmmonk.be)</v>
      </c>
      <c r="AH3" s="4" t="str">
        <f ca="1">IFERROR(__xludf.DUMMYFUNCTION("""COMPUTED_VALUE"""),"The workshop opened a whole new world for me, and I definitely intend to use IIIF in the future.")</f>
        <v>The workshop opened a whole new world for me, and I definitely intend to use IIIF in the future.</v>
      </c>
      <c r="AI3" s="4"/>
      <c r="AJ3" s="4"/>
      <c r="AK3" s="4"/>
      <c r="AL3" s="4"/>
      <c r="AM3" s="4"/>
      <c r="AN3" s="4"/>
      <c r="AO3" s="4"/>
    </row>
    <row r="4" spans="1:41" x14ac:dyDescent="0.25">
      <c r="A4" s="5">
        <f ca="1">IFERROR(__xludf.DUMMYFUNCTION("""COMPUTED_VALUE"""),45397.4669835648)</f>
        <v>45397.466983564802</v>
      </c>
      <c r="B4" s="4" t="str">
        <f ca="1">IFERROR(__xludf.DUMMYFUNCTION("""COMPUTED_VALUE"""),"University (faculty)")</f>
        <v>University (faculty)</v>
      </c>
      <c r="C4" s="4" t="str">
        <f ca="1">IFERROR(__xludf.DUMMYFUNCTION("""COMPUTED_VALUE"""),"Student")</f>
        <v>Student</v>
      </c>
      <c r="D4" s="4" t="str">
        <f ca="1">IFERROR(__xludf.DUMMYFUNCTION("""COMPUTED_VALUE"""),"Belgium")</f>
        <v>Belgium</v>
      </c>
      <c r="E4" s="4"/>
      <c r="F4" s="4" t="str">
        <f ca="1">IFERROR(__xludf.DUMMYFUNCTION("""COMPUTED_VALUE"""),"25-34")</f>
        <v>25-34</v>
      </c>
      <c r="G4" s="4" t="str">
        <f ca="1">IFERROR(__xludf.DUMMYFUNCTION("""COMPUTED_VALUE"""),"Ghent University, Latin Palaeography, Prof. Els De Paermentier, 2023-12-12")</f>
        <v>Ghent University, Latin Palaeography, Prof. Els De Paermentier, 2023-12-12</v>
      </c>
      <c r="H4" s="4" t="str">
        <f ca="1">IFERROR(__xludf.DUMMYFUNCTION("""COMPUTED_VALUE"""),"Yes")</f>
        <v>Yes</v>
      </c>
      <c r="I4" s="4" t="str">
        <f ca="1">IFERROR(__xludf.DUMMYFUNCTION("""COMPUTED_VALUE"""),"No")</f>
        <v>No</v>
      </c>
      <c r="J4" s="4"/>
      <c r="K4" s="4"/>
      <c r="L4" s="4"/>
      <c r="M4" s="4"/>
      <c r="N4" s="4" t="str">
        <f ca="1">IFERROR(__xludf.DUMMYFUNCTION("""COMPUTED_VALUE"""),"IIIF is a way to make a code or 'manifest' to encrypt a digitized manuscript, painting, picture (what can not be transferred to plain text without loss of information). With that code, such document can be made more easily accessible, it can be displayed "&amp;"on a website without going through the hassle of the different viewing methods different libraries or archives use. ")</f>
        <v xml:space="preserve">IIIF is a way to make a code or 'manifest' to encrypt a digitized manuscript, painting, picture (what can not be transferred to plain text without loss of information). With that code, such document can be made more easily accessible, it can be displayed on a website without going through the hassle of the different viewing methods different libraries or archives use. </v>
      </c>
      <c r="O4" s="4" t="str">
        <f ca="1">IFERROR(__xludf.DUMMYFUNCTION("""COMPUTED_VALUE"""),"Yes")</f>
        <v>Yes</v>
      </c>
      <c r="P4" s="4" t="str">
        <f ca="1">IFERROR(__xludf.DUMMYFUNCTION("""COMPUTED_VALUE"""),"Create a virtual tour in a.o. Exhibit")</f>
        <v>Create a virtual tour in a.o. Exhibit</v>
      </c>
      <c r="Q4" s="4" t="str">
        <f ca="1">IFERROR(__xludf.DUMMYFUNCTION("""COMPUTED_VALUE"""),"Yes (or I have specific plans to use it in the future)")</f>
        <v>Yes (or I have specific plans to use it in the future)</v>
      </c>
      <c r="R4" s="4" t="str">
        <f ca="1">IFERROR(__xludf.DUMMYFUNCTION("""COMPUTED_VALUE"""),"Create a virtual tour in a.o. Exhibit")</f>
        <v>Create a virtual tour in a.o. Exhibit</v>
      </c>
      <c r="S4" s="4" t="str">
        <f ca="1">IFERROR(__xludf.DUMMYFUNCTION("""COMPUTED_VALUE"""),"Yes, as inspiration for a project with IIIF")</f>
        <v>Yes, as inspiration for a project with IIIF</v>
      </c>
      <c r="T4" s="4" t="str">
        <f ca="1">IFERROR(__xludf.DUMMYFUNCTION("""COMPUTED_VALUE"""),"Agree")</f>
        <v>Agree</v>
      </c>
      <c r="U4" s="4" t="str">
        <f ca="1">IFERROR(__xludf.DUMMYFUNCTION("""COMPUTED_VALUE"""),"Agree")</f>
        <v>Agree</v>
      </c>
      <c r="V4" s="4" t="str">
        <f ca="1">IFERROR(__xludf.DUMMYFUNCTION("""COMPUTED_VALUE"""),"Strongly agree")</f>
        <v>Strongly agree</v>
      </c>
      <c r="W4" s="4" t="str">
        <f ca="1">IFERROR(__xludf.DUMMYFUNCTION("""COMPUTED_VALUE"""),"Agree")</f>
        <v>Agree</v>
      </c>
      <c r="X4" s="4" t="str">
        <f ca="1">IFERROR(__xludf.DUMMYFUNCTION("""COMPUTED_VALUE"""),"Neutral")</f>
        <v>Neutral</v>
      </c>
      <c r="Y4" s="4" t="str">
        <f ca="1">IFERROR(__xludf.DUMMYFUNCTION("""COMPUTED_VALUE"""),"Its uniformity puts the focus on the document, not on the viewing program.")</f>
        <v>Its uniformity puts the focus on the document, not on the viewing program.</v>
      </c>
      <c r="Z4" s="4" t="str">
        <f ca="1">IFERROR(__xludf.DUMMYFUNCTION("""COMPUTED_VALUE"""),"No")</f>
        <v>No</v>
      </c>
      <c r="AA4" s="4" t="str">
        <f ca="1">IFERROR(__xludf.DUMMYFUNCTION("""COMPUTED_VALUE"""),"big button")</f>
        <v>big button</v>
      </c>
      <c r="AB4" s="4"/>
      <c r="AC4" s="4"/>
      <c r="AD4" s="4" t="str">
        <f ca="1">IFERROR(__xludf.DUMMYFUNCTION("""COMPUTED_VALUE"""),"The integration of the course material (the different hands and scripts) made it very concrete. The practical part, testing out the different programs (such as Mirador), helped to understand what IIIF was much better. Also the merch at the end was a very "&amp;"nice thing to receive. ;) ")</f>
        <v xml:space="preserve">The integration of the course material (the different hands and scripts) made it very concrete. The practical part, testing out the different programs (such as Mirador), helped to understand what IIIF was much better. Also the merch at the end was a very nice thing to receive. ;) </v>
      </c>
      <c r="AE4" s="4" t="str">
        <f ca="1">IFERROR(__xludf.DUMMYFUNCTION("""COMPUTED_VALUE"""),"It was all very clear, would recommend without change!")</f>
        <v>It was all very clear, would recommend without change!</v>
      </c>
      <c r="AF4" s="4" t="str">
        <f ca="1">IFERROR(__xludf.DUMMYFUNCTION("""COMPUTED_VALUE"""),"No")</f>
        <v>No</v>
      </c>
      <c r="AG4" s="4"/>
      <c r="AH4" s="4" t="str">
        <f ca="1">IFERROR(__xludf.DUMMYFUNCTION("""COMPUTED_VALUE"""),"Keep up the good work.")</f>
        <v>Keep up the good work.</v>
      </c>
      <c r="AI4" s="4"/>
      <c r="AJ4" s="4"/>
      <c r="AK4" s="4"/>
      <c r="AL4" s="4"/>
      <c r="AM4" s="4"/>
      <c r="AN4" s="4"/>
      <c r="AO4" s="4"/>
    </row>
    <row r="5" spans="1:41" x14ac:dyDescent="0.25">
      <c r="A5" s="5">
        <f ca="1">IFERROR(__xludf.DUMMYFUNCTION("""COMPUTED_VALUE"""),45397.5574579629)</f>
        <v>45397.557457962903</v>
      </c>
      <c r="B5" s="4" t="str">
        <f ca="1">IFERROR(__xludf.DUMMYFUNCTION("""COMPUTED_VALUE"""),"Archives")</f>
        <v>Archives</v>
      </c>
      <c r="C5" s="4" t="str">
        <f ca="1">IFERROR(__xludf.DUMMYFUNCTION("""COMPUTED_VALUE"""),"Education and outreach (in a cultural heritage institution)")</f>
        <v>Education and outreach (in a cultural heritage institution)</v>
      </c>
      <c r="D5" s="4" t="str">
        <f ca="1">IFERROR(__xludf.DUMMYFUNCTION("""COMPUTED_VALUE"""),"Belgium")</f>
        <v>Belgium</v>
      </c>
      <c r="E5" s="4"/>
      <c r="F5" s="4" t="str">
        <f ca="1">IFERROR(__xludf.DUMMYFUNCTION("""COMPUTED_VALUE"""),"45-54")</f>
        <v>45-54</v>
      </c>
      <c r="G5" s="4" t="str">
        <f ca="1">IFERROR(__xludf.DUMMYFUNCTION("""COMPUTED_VALUE"""),"meemoo, Flemish institute for archives, 2023-12-14")</f>
        <v>meemoo, Flemish institute for archives, 2023-12-14</v>
      </c>
      <c r="H5" s="4" t="str">
        <f ca="1">IFERROR(__xludf.DUMMYFUNCTION("""COMPUTED_VALUE"""),"Yes")</f>
        <v>Yes</v>
      </c>
      <c r="I5" s="4" t="str">
        <f ca="1">IFERROR(__xludf.DUMMYFUNCTION("""COMPUTED_VALUE"""),"No")</f>
        <v>No</v>
      </c>
      <c r="J5" s="4"/>
      <c r="K5" s="4"/>
      <c r="L5" s="4"/>
      <c r="M5" s="4"/>
      <c r="N5" s="4" t="str">
        <f ca="1">IFERROR(__xludf.DUMMYFUNCTION("""COMPUTED_VALUE"""),"A standard to promote the correct re-use of visual material")</f>
        <v>A standard to promote the correct re-use of visual material</v>
      </c>
      <c r="O5" s="4" t="str">
        <f ca="1">IFERROR(__xludf.DUMMYFUNCTION("""COMPUTED_VALUE"""),"No")</f>
        <v>No</v>
      </c>
      <c r="P5" s="4" t="str">
        <f ca="1">IFERROR(__xludf.DUMMYFUNCTION("""COMPUTED_VALUE"""),"Create a virtual tour in a.o. Exhibit")</f>
        <v>Create a virtual tour in a.o. Exhibit</v>
      </c>
      <c r="Q5" s="4" t="str">
        <f ca="1">IFERROR(__xludf.DUMMYFUNCTION("""COMPUTED_VALUE"""),"No")</f>
        <v>No</v>
      </c>
      <c r="R5" s="4"/>
      <c r="S5" s="4"/>
      <c r="T5" s="4"/>
      <c r="U5" s="4"/>
      <c r="V5" s="4"/>
      <c r="W5" s="4"/>
      <c r="X5" s="4"/>
      <c r="Y5" s="4"/>
      <c r="Z5" s="4"/>
      <c r="AA5" s="4"/>
      <c r="AB5" s="4" t="str">
        <f ca="1">IFERROR(__xludf.DUMMYFUNCTION("""COMPUTED_VALUE"""),"Not available for the specific items I need")</f>
        <v>Not available for the specific items I need</v>
      </c>
      <c r="AC5" s="4" t="str">
        <f ca="1">IFERROR(__xludf.DUMMYFUNCTION("""COMPUTED_VALUE"""),"it has to do with legal restrictions (author rights) on the materiaal we provide on our password protected website")</f>
        <v>it has to do with legal restrictions (author rights) on the materiaal we provide on our password protected website</v>
      </c>
      <c r="AD5" s="4" t="str">
        <f ca="1">IFERROR(__xludf.DUMMYFUNCTION("""COMPUTED_VALUE"""),"examples and exercises")</f>
        <v>examples and exercises</v>
      </c>
      <c r="AE5" s="4" t="str">
        <f ca="1">IFERROR(__xludf.DUMMYFUNCTION("""COMPUTED_VALUE"""),"nothing")</f>
        <v>nothing</v>
      </c>
      <c r="AF5" s="4" t="str">
        <f ca="1">IFERROR(__xludf.DUMMYFUNCTION("""COMPUTED_VALUE"""),"No")</f>
        <v>No</v>
      </c>
      <c r="AG5" s="4"/>
      <c r="AH5" s="4"/>
      <c r="AI5" s="4"/>
      <c r="AJ5" s="4"/>
      <c r="AK5" s="4"/>
      <c r="AL5" s="4"/>
      <c r="AM5" s="4"/>
      <c r="AN5" s="4"/>
      <c r="AO5" s="4"/>
    </row>
    <row r="6" spans="1:41" x14ac:dyDescent="0.25">
      <c r="A6" s="5">
        <f ca="1">IFERROR(__xludf.DUMMYFUNCTION("""COMPUTED_VALUE"""),45398.3691314236)</f>
        <v>45398.369131423598</v>
      </c>
      <c r="B6" s="4" t="str">
        <f ca="1">IFERROR(__xludf.DUMMYFUNCTION("""COMPUTED_VALUE"""),"Library (including university library)")</f>
        <v>Library (including university library)</v>
      </c>
      <c r="C6" s="4" t="str">
        <f ca="1">IFERROR(__xludf.DUMMYFUNCTION("""COMPUTED_VALUE"""),"Collection management")</f>
        <v>Collection management</v>
      </c>
      <c r="D6" s="4" t="str">
        <f ca="1">IFERROR(__xludf.DUMMYFUNCTION("""COMPUTED_VALUE"""),"Belgium")</f>
        <v>Belgium</v>
      </c>
      <c r="E6" s="4"/>
      <c r="F6" s="4" t="str">
        <f ca="1">IFERROR(__xludf.DUMMYFUNCTION("""COMPUTED_VALUE"""),"45-54")</f>
        <v>45-54</v>
      </c>
      <c r="G6" s="4" t="str">
        <f ca="1">IFERROR(__xludf.DUMMYFUNCTION("""COMPUTED_VALUE"""),"Collegagroep Handschriften, Vlaamse Erfgoedbibliotheken, 2023-06-01")</f>
        <v>Collegagroep Handschriften, Vlaamse Erfgoedbibliotheken, 2023-06-01</v>
      </c>
      <c r="H6" s="4" t="str">
        <f ca="1">IFERROR(__xludf.DUMMYFUNCTION("""COMPUTED_VALUE"""),"Yes")</f>
        <v>Yes</v>
      </c>
      <c r="I6" s="4" t="str">
        <f ca="1">IFERROR(__xludf.DUMMYFUNCTION("""COMPUTED_VALUE"""),"No")</f>
        <v>No</v>
      </c>
      <c r="J6" s="4"/>
      <c r="K6" s="4"/>
      <c r="L6" s="4"/>
      <c r="M6" s="4"/>
      <c r="N6" s="4" t="str">
        <f ca="1">IFERROR(__xludf.DUMMYFUNCTION("""COMPUTED_VALUE"""),"Comparing images, that are enriched with metadata")</f>
        <v>Comparing images, that are enriched with metadata</v>
      </c>
      <c r="O6" s="4" t="str">
        <f ca="1">IFERROR(__xludf.DUMMYFUNCTION("""COMPUTED_VALUE"""),"Yes")</f>
        <v>Yes</v>
      </c>
      <c r="P6" s="4" t="str">
        <f ca="1">IFERROR(__xludf.DUMMYFUNCTION("""COMPUTED_VALUE"""),"Share detail on image with Universal Viewer")</f>
        <v>Share detail on image with Universal Viewer</v>
      </c>
      <c r="Q6" s="4" t="str">
        <f ca="1">IFERROR(__xludf.DUMMYFUNCTION("""COMPUTED_VALUE"""),"No")</f>
        <v>No</v>
      </c>
      <c r="R6" s="4"/>
      <c r="S6" s="4"/>
      <c r="T6" s="4"/>
      <c r="U6" s="4"/>
      <c r="V6" s="4"/>
      <c r="W6" s="4"/>
      <c r="X6" s="4"/>
      <c r="Y6" s="4"/>
      <c r="Z6" s="4"/>
      <c r="AA6" s="4"/>
      <c r="AB6" s="4" t="str">
        <f ca="1">IFERROR(__xludf.DUMMYFUNCTION("""COMPUTED_VALUE"""),"Haven't had the time or occasion yet")</f>
        <v>Haven't had the time or occasion yet</v>
      </c>
      <c r="AC6" s="4" t="str">
        <f ca="1">IFERROR(__xludf.DUMMYFUNCTION("""COMPUTED_VALUE"""),"time")</f>
        <v>time</v>
      </c>
      <c r="AD6" s="4" t="str">
        <f ca="1">IFERROR(__xludf.DUMMYFUNCTION("""COMPUTED_VALUE"""),"communication")</f>
        <v>communication</v>
      </c>
      <c r="AE6" s="4" t="str">
        <f ca="1">IFERROR(__xludf.DUMMYFUNCTION("""COMPUTED_VALUE"""),"it gives just a first impression, no solid training")</f>
        <v>it gives just a first impression, no solid training</v>
      </c>
      <c r="AF6" s="4" t="str">
        <f ca="1">IFERROR(__xludf.DUMMYFUNCTION("""COMPUTED_VALUE"""),"No")</f>
        <v>No</v>
      </c>
      <c r="AG6" s="4"/>
      <c r="AH6" s="4"/>
      <c r="AI6" s="4"/>
      <c r="AJ6" s="4"/>
      <c r="AK6" s="4"/>
      <c r="AL6" s="4"/>
      <c r="AM6" s="4"/>
      <c r="AN6" s="4"/>
      <c r="AO6" s="4"/>
    </row>
    <row r="7" spans="1:41" x14ac:dyDescent="0.25">
      <c r="A7" s="5">
        <f ca="1">IFERROR(__xludf.DUMMYFUNCTION("""COMPUTED_VALUE"""),45398.4129984143)</f>
        <v>45398.4129984143</v>
      </c>
      <c r="B7" s="4" t="str">
        <f ca="1">IFERROR(__xludf.DUMMYFUNCTION("""COMPUTED_VALUE"""),"University (faculty)")</f>
        <v>University (faculty)</v>
      </c>
      <c r="C7" s="4" t="str">
        <f ca="1">IFERROR(__xludf.DUMMYFUNCTION("""COMPUTED_VALUE"""),"Research")</f>
        <v>Research</v>
      </c>
      <c r="D7" s="4" t="str">
        <f ca="1">IFERROR(__xludf.DUMMYFUNCTION("""COMPUTED_VALUE"""),"Belgium")</f>
        <v>Belgium</v>
      </c>
      <c r="E7" s="4"/>
      <c r="F7" s="4" t="str">
        <f ca="1">IFERROR(__xludf.DUMMYFUNCTION("""COMPUTED_VALUE"""),"55-64")</f>
        <v>55-64</v>
      </c>
      <c r="G7" s="4" t="str">
        <f ca="1">IFERROR(__xludf.DUMMYFUNCTION("""COMPUTED_VALUE"""),"Collegagroep Handschriften, Vlaamse Erfgoedbibliotheken, 2023-06-01")</f>
        <v>Collegagroep Handschriften, Vlaamse Erfgoedbibliotheken, 2023-06-01</v>
      </c>
      <c r="H7" s="4" t="str">
        <f ca="1">IFERROR(__xludf.DUMMYFUNCTION("""COMPUTED_VALUE"""),"Yes")</f>
        <v>Yes</v>
      </c>
      <c r="I7" s="4" t="str">
        <f ca="1">IFERROR(__xludf.DUMMYFUNCTION("""COMPUTED_VALUE"""),"No")</f>
        <v>No</v>
      </c>
      <c r="J7" s="4"/>
      <c r="K7" s="4"/>
      <c r="L7" s="4"/>
      <c r="M7" s="4"/>
      <c r="N7" s="4" t="str">
        <f ca="1">IFERROR(__xludf.DUMMYFUNCTION("""COMPUTED_VALUE"""),"A protocol to digitize and refer to digitized images (manuscripts)")</f>
        <v>A protocol to digitize and refer to digitized images (manuscripts)</v>
      </c>
      <c r="O7" s="4" t="str">
        <f ca="1">IFERROR(__xludf.DUMMYFUNCTION("""COMPUTED_VALUE"""),"Yes")</f>
        <v>Yes</v>
      </c>
      <c r="P7" s="4" t="str">
        <f ca="1">IFERROR(__xludf.DUMMYFUNCTION("""COMPUTED_VALUE"""),"Compare items in the Mirador Viewer")</f>
        <v>Compare items in the Mirador Viewer</v>
      </c>
      <c r="Q7" s="4" t="str">
        <f ca="1">IFERROR(__xludf.DUMMYFUNCTION("""COMPUTED_VALUE"""),"Yes (or I have specific plans to use it in the future)")</f>
        <v>Yes (or I have specific plans to use it in the future)</v>
      </c>
      <c r="R7" s="4" t="str">
        <f ca="1">IFERROR(__xludf.DUMMYFUNCTION("""COMPUTED_VALUE"""),"Compare items in the Mirador Viewer")</f>
        <v>Compare items in the Mirador Viewer</v>
      </c>
      <c r="S7" s="4" t="str">
        <f ca="1">IFERROR(__xludf.DUMMYFUNCTION("""COMPUTED_VALUE"""),"Yes, I promoted IIIF to researchers, colleagues, students and/or external stakeholders")</f>
        <v>Yes, I promoted IIIF to researchers, colleagues, students and/or external stakeholders</v>
      </c>
      <c r="T7" s="4" t="str">
        <f ca="1">IFERROR(__xludf.DUMMYFUNCTION("""COMPUTED_VALUE"""),"Agree")</f>
        <v>Agree</v>
      </c>
      <c r="U7" s="4" t="str">
        <f ca="1">IFERROR(__xludf.DUMMYFUNCTION("""COMPUTED_VALUE"""),"Agree")</f>
        <v>Agree</v>
      </c>
      <c r="V7" s="4" t="str">
        <f ca="1">IFERROR(__xludf.DUMMYFUNCTION("""COMPUTED_VALUE"""),"Strongly agree")</f>
        <v>Strongly agree</v>
      </c>
      <c r="W7" s="4" t="str">
        <f ca="1">IFERROR(__xludf.DUMMYFUNCTION("""COMPUTED_VALUE"""),"Neutral")</f>
        <v>Neutral</v>
      </c>
      <c r="X7" s="4" t="str">
        <f ca="1">IFERROR(__xludf.DUMMYFUNCTION("""COMPUTED_VALUE"""),"Neutral")</f>
        <v>Neutral</v>
      </c>
      <c r="Y7" s="4"/>
      <c r="Z7" s="4" t="str">
        <f ca="1">IFERROR(__xludf.DUMMYFUNCTION("""COMPUTED_VALUE"""),"No")</f>
        <v>No</v>
      </c>
      <c r="AA7" s="4"/>
      <c r="AB7" s="4"/>
      <c r="AC7" s="4"/>
      <c r="AD7" s="4" t="str">
        <f ca="1">IFERROR(__xludf.DUMMYFUNCTION("""COMPUTED_VALUE"""),"Hands on: explanation and doing it immediately ourselves; great teacher!")</f>
        <v>Hands on: explanation and doing it immediately ourselves; great teacher!</v>
      </c>
      <c r="AE7" s="4" t="str">
        <f ca="1">IFERROR(__xludf.DUMMYFUNCTION("""COMPUTED_VALUE"""),"don't change anything")</f>
        <v>don't change anything</v>
      </c>
      <c r="AF7" s="4" t="str">
        <f ca="1">IFERROR(__xludf.DUMMYFUNCTION("""COMPUTED_VALUE"""),"No")</f>
        <v>No</v>
      </c>
      <c r="AG7" s="4"/>
      <c r="AH7" s="4"/>
      <c r="AI7" s="4"/>
      <c r="AJ7" s="4"/>
      <c r="AK7" s="4"/>
      <c r="AL7" s="4"/>
      <c r="AM7" s="4"/>
      <c r="AN7" s="4"/>
      <c r="AO7" s="4"/>
    </row>
    <row r="8" spans="1:41" x14ac:dyDescent="0.25">
      <c r="A8" s="5">
        <f ca="1">IFERROR(__xludf.DUMMYFUNCTION("""COMPUTED_VALUE"""),45398.5235856365)</f>
        <v>45398.523585636503</v>
      </c>
      <c r="B8" s="4" t="str">
        <f ca="1">IFERROR(__xludf.DUMMYFUNCTION("""COMPUTED_VALUE"""),"University (faculty)")</f>
        <v>University (faculty)</v>
      </c>
      <c r="C8" s="4" t="str">
        <f ca="1">IFERROR(__xludf.DUMMYFUNCTION("""COMPUTED_VALUE"""),"Research")</f>
        <v>Research</v>
      </c>
      <c r="D8" s="4" t="str">
        <f ca="1">IFERROR(__xludf.DUMMYFUNCTION("""COMPUTED_VALUE"""),"Switzerland")</f>
        <v>Switzerland</v>
      </c>
      <c r="E8" s="4"/>
      <c r="F8" s="4" t="str">
        <f ca="1">IFERROR(__xludf.DUMMYFUNCTION("""COMPUTED_VALUE"""),"25-34")</f>
        <v>25-34</v>
      </c>
      <c r="G8" s="4" t="str">
        <f ca="1">IFERROR(__xludf.DUMMYFUNCTION("""COMPUTED_VALUE"""),"Mmmonk School 2023, 2023-12-01")</f>
        <v>Mmmonk School 2023, 2023-12-01</v>
      </c>
      <c r="H8" s="4" t="str">
        <f ca="1">IFERROR(__xludf.DUMMYFUNCTION("""COMPUTED_VALUE"""),"No, I had never heard the IIIF acronym or seen/noticed the IIIF logo before I registered for the Mmmonk IIIF Workshop.")</f>
        <v>No, I had never heard the IIIF acronym or seen/noticed the IIIF logo before I registered for the Mmmonk IIIF Workshop.</v>
      </c>
      <c r="I8" s="4" t="str">
        <f ca="1">IFERROR(__xludf.DUMMYFUNCTION("""COMPUTED_VALUE"""),"No")</f>
        <v>No</v>
      </c>
      <c r="J8" s="4"/>
      <c r="K8" s="4"/>
      <c r="L8" s="4"/>
      <c r="M8" s="4"/>
      <c r="N8" s="4" t="str">
        <f ca="1">IFERROR(__xludf.DUMMYFUNCTION("""COMPUTED_VALUE"""),"A more convenient and efficient way to share and compare specific images/points of interest in manuscripts and prints")</f>
        <v>A more convenient and efficient way to share and compare specific images/points of interest in manuscripts and prints</v>
      </c>
      <c r="O8" s="4" t="str">
        <f ca="1">IFERROR(__xludf.DUMMYFUNCTION("""COMPUTED_VALUE"""),"Yes")</f>
        <v>Yes</v>
      </c>
      <c r="P8" s="4" t="str">
        <f ca="1">IFERROR(__xludf.DUMMYFUNCTION("""COMPUTED_VALUE"""),"Share detail on image with Universal Viewer")</f>
        <v>Share detail on image with Universal Viewer</v>
      </c>
      <c r="Q8" s="4" t="str">
        <f ca="1">IFERROR(__xludf.DUMMYFUNCTION("""COMPUTED_VALUE"""),"Yes (or I have specific plans to use it in the future)")</f>
        <v>Yes (or I have specific plans to use it in the future)</v>
      </c>
      <c r="R8" s="4" t="str">
        <f ca="1">IFERROR(__xludf.DUMMYFUNCTION("""COMPUTED_VALUE"""),"Share detail on image with Universal Viewer, Compare items in the Mirador Viewer")</f>
        <v>Share detail on image with Universal Viewer, Compare items in the Mirador Viewer</v>
      </c>
      <c r="S8" s="4" t="str">
        <f ca="1">IFERROR(__xludf.DUMMYFUNCTION("""COMPUTED_VALUE"""),"No")</f>
        <v>No</v>
      </c>
      <c r="T8" s="4" t="str">
        <f ca="1">IFERROR(__xludf.DUMMYFUNCTION("""COMPUTED_VALUE"""),"Agree")</f>
        <v>Agree</v>
      </c>
      <c r="U8" s="4" t="str">
        <f ca="1">IFERROR(__xludf.DUMMYFUNCTION("""COMPUTED_VALUE"""),"Agree")</f>
        <v>Agree</v>
      </c>
      <c r="V8" s="4" t="str">
        <f ca="1">IFERROR(__xludf.DUMMYFUNCTION("""COMPUTED_VALUE"""),"Strongly agree")</f>
        <v>Strongly agree</v>
      </c>
      <c r="W8" s="4" t="str">
        <f ca="1">IFERROR(__xludf.DUMMYFUNCTION("""COMPUTED_VALUE"""),"Strongly disagree")</f>
        <v>Strongly disagree</v>
      </c>
      <c r="X8" s="4" t="str">
        <f ca="1">IFERROR(__xludf.DUMMYFUNCTION("""COMPUTED_VALUE"""),"Neutral")</f>
        <v>Neutral</v>
      </c>
      <c r="Y8" s="4"/>
      <c r="Z8" s="4" t="str">
        <f ca="1">IFERROR(__xludf.DUMMYFUNCTION("""COMPUTED_VALUE"""),"Yes")</f>
        <v>Yes</v>
      </c>
      <c r="AA8" s="4"/>
      <c r="AB8" s="4"/>
      <c r="AC8" s="4"/>
      <c r="AD8" s="4" t="str">
        <f ca="1">IFERROR(__xludf.DUMMYFUNCTION("""COMPUTED_VALUE"""),"Hands on practical approach/learning by doing")</f>
        <v>Hands on practical approach/learning by doing</v>
      </c>
      <c r="AE8" s="4" t="str">
        <f ca="1">IFERROR(__xludf.DUMMYFUNCTION("""COMPUTED_VALUE"""),"Maybe give more room to work with manuscripts/prints you are working on atm")</f>
        <v>Maybe give more room to work with manuscripts/prints you are working on atm</v>
      </c>
      <c r="AF8" s="4" t="str">
        <f ca="1">IFERROR(__xludf.DUMMYFUNCTION("""COMPUTED_VALUE"""),"No")</f>
        <v>No</v>
      </c>
      <c r="AG8" s="4"/>
      <c r="AH8" s="4"/>
      <c r="AI8" s="4" t="str">
        <f ca="1">IFERROR(__xludf.DUMMYFUNCTION("""COMPUTED_VALUE"""),"luca.hollenborg@gmail.com")</f>
        <v>luca.hollenborg@gmail.com</v>
      </c>
      <c r="AJ8" s="4"/>
      <c r="AK8" s="4"/>
      <c r="AL8" s="4"/>
      <c r="AM8" s="4"/>
      <c r="AN8" s="4"/>
      <c r="AO8" s="4"/>
    </row>
    <row r="9" spans="1:41" x14ac:dyDescent="0.25">
      <c r="A9" s="5">
        <f ca="1">IFERROR(__xludf.DUMMYFUNCTION("""COMPUTED_VALUE"""),45398.5783599305)</f>
        <v>45398.5783599305</v>
      </c>
      <c r="B9" s="4" t="str">
        <f ca="1">IFERROR(__xludf.DUMMYFUNCTION("""COMPUTED_VALUE"""),"Library (including university library)")</f>
        <v>Library (including university library)</v>
      </c>
      <c r="C9" s="4" t="str">
        <f ca="1">IFERROR(__xludf.DUMMYFUNCTION("""COMPUTED_VALUE"""),"Collection management")</f>
        <v>Collection management</v>
      </c>
      <c r="D9" s="4" t="str">
        <f ca="1">IFERROR(__xludf.DUMMYFUNCTION("""COMPUTED_VALUE"""),"Belgium")</f>
        <v>Belgium</v>
      </c>
      <c r="E9" s="4"/>
      <c r="F9" s="4" t="str">
        <f ca="1">IFERROR(__xludf.DUMMYFUNCTION("""COMPUTED_VALUE"""),"55-64")</f>
        <v>55-64</v>
      </c>
      <c r="G9" s="4" t="str">
        <f ca="1">IFERROR(__xludf.DUMMYFUNCTION("""COMPUTED_VALUE"""),"Mmmonk School 2022, 2022-12-16")</f>
        <v>Mmmonk School 2022, 2022-12-16</v>
      </c>
      <c r="H9" s="4" t="str">
        <f ca="1">IFERROR(__xludf.DUMMYFUNCTION("""COMPUTED_VALUE"""),"No, I had never heard the IIIF acronym or seen/noticed the IIIF logo before I registered for the Mmmonk IIIF Workshop.")</f>
        <v>No, I had never heard the IIIF acronym or seen/noticed the IIIF logo before I registered for the Mmmonk IIIF Workshop.</v>
      </c>
      <c r="I9" s="4" t="str">
        <f ca="1">IFERROR(__xludf.DUMMYFUNCTION("""COMPUTED_VALUE"""),"No")</f>
        <v>No</v>
      </c>
      <c r="J9" s="4"/>
      <c r="K9" s="4"/>
      <c r="L9" s="4"/>
      <c r="M9" s="4"/>
      <c r="N9" s="4" t="str">
        <f ca="1">IFERROR(__xludf.DUMMYFUNCTION("""COMPUTED_VALUE"""),"IIIF is a system for data that everyone anywhere can read und use: durability is a high standard")</f>
        <v>IIIF is a system for data that everyone anywhere can read und use: durability is a high standard</v>
      </c>
      <c r="O9" s="4" t="str">
        <f ca="1">IFERROR(__xludf.DUMMYFUNCTION("""COMPUTED_VALUE"""),"Yes")</f>
        <v>Yes</v>
      </c>
      <c r="P9" s="4" t="str">
        <f ca="1">IFERROR(__xludf.DUMMYFUNCTION("""COMPUTED_VALUE"""),"Download an image using Universal Viewer")</f>
        <v>Download an image using Universal Viewer</v>
      </c>
      <c r="Q9" s="4" t="str">
        <f ca="1">IFERROR(__xludf.DUMMYFUNCTION("""COMPUTED_VALUE"""),"No")</f>
        <v>No</v>
      </c>
      <c r="R9" s="4"/>
      <c r="S9" s="4"/>
      <c r="T9" s="4"/>
      <c r="U9" s="4"/>
      <c r="V9" s="4"/>
      <c r="W9" s="4"/>
      <c r="X9" s="4"/>
      <c r="Y9" s="4"/>
      <c r="Z9" s="4"/>
      <c r="AA9" s="4"/>
      <c r="AB9" s="4" t="str">
        <f ca="1">IFERROR(__xludf.DUMMYFUNCTION("""COMPUTED_VALUE"""),"Haven't had the time or occasion yet")</f>
        <v>Haven't had the time or occasion yet</v>
      </c>
      <c r="AC9" s="4" t="str">
        <f ca="1">IFERROR(__xludf.DUMMYFUNCTION("""COMPUTED_VALUE"""),"-")</f>
        <v>-</v>
      </c>
      <c r="AD9" s="4" t="str">
        <f ca="1">IFERROR(__xludf.DUMMYFUNCTION("""COMPUTED_VALUE"""),"I like it all because it gives me  information of what is possible. I did't know it.")</f>
        <v>I like it all because it gives me  information of what is possible. I did't know it.</v>
      </c>
      <c r="AE9" s="4" t="str">
        <f ca="1">IFERROR(__xludf.DUMMYFUNCTION("""COMPUTED_VALUE"""),"-")</f>
        <v>-</v>
      </c>
      <c r="AF9" s="4" t="str">
        <f ca="1">IFERROR(__xludf.DUMMYFUNCTION("""COMPUTED_VALUE"""),"No")</f>
        <v>No</v>
      </c>
      <c r="AG9" s="4"/>
      <c r="AH9" s="4" t="str">
        <f ca="1">IFERROR(__xludf.DUMMYFUNCTION("""COMPUTED_VALUE"""),"I want to thank you for the Mmmonk school and please, do it again at the end of the year.")</f>
        <v>I want to thank you for the Mmmonk school and please, do it again at the end of the year.</v>
      </c>
      <c r="AI9" s="4" t="str">
        <f ca="1">IFERROR(__xludf.DUMMYFUNCTION("""COMPUTED_VALUE"""),"bib.grootseminarie.gent@bisdomgent.be")</f>
        <v>bib.grootseminarie.gent@bisdomgent.be</v>
      </c>
      <c r="AJ9" s="4"/>
      <c r="AK9" s="4"/>
      <c r="AL9" s="4"/>
      <c r="AM9" s="4"/>
      <c r="AN9" s="4"/>
      <c r="AO9" s="4"/>
    </row>
    <row r="10" spans="1:41" x14ac:dyDescent="0.25">
      <c r="A10" s="5">
        <f ca="1">IFERROR(__xludf.DUMMYFUNCTION("""COMPUTED_VALUE"""),45398.6293254398)</f>
        <v>45398.629325439797</v>
      </c>
      <c r="B10" s="4" t="str">
        <f ca="1">IFERROR(__xludf.DUMMYFUNCTION("""COMPUTED_VALUE"""),"University (faculty)")</f>
        <v>University (faculty)</v>
      </c>
      <c r="C10" s="4" t="str">
        <f ca="1">IFERROR(__xludf.DUMMYFUNCTION("""COMPUTED_VALUE"""),"Research")</f>
        <v>Research</v>
      </c>
      <c r="D10" s="4" t="str">
        <f ca="1">IFERROR(__xludf.DUMMYFUNCTION("""COMPUTED_VALUE"""),"Latvia")</f>
        <v>Latvia</v>
      </c>
      <c r="E10" s="4"/>
      <c r="F10" s="4" t="str">
        <f ca="1">IFERROR(__xludf.DUMMYFUNCTION("""COMPUTED_VALUE"""),"35-44")</f>
        <v>35-44</v>
      </c>
      <c r="G10" s="4" t="str">
        <f ca="1">IFERROR(__xludf.DUMMYFUNCTION("""COMPUTED_VALUE"""),"Mmmonk School 2022, 2022-12-16")</f>
        <v>Mmmonk School 2022, 2022-12-16</v>
      </c>
      <c r="H10" s="4" t="str">
        <f ca="1">IFERROR(__xludf.DUMMYFUNCTION("""COMPUTED_VALUE"""),"No, I had never heard the IIIF acronym or seen/noticed the IIIF logo before I registered for the Mmmonk IIIF Workshop.")</f>
        <v>No, I had never heard the IIIF acronym or seen/noticed the IIIF logo before I registered for the Mmmonk IIIF Workshop.</v>
      </c>
      <c r="I10" s="4" t="str">
        <f ca="1">IFERROR(__xludf.DUMMYFUNCTION("""COMPUTED_VALUE"""),"No")</f>
        <v>No</v>
      </c>
      <c r="J10" s="4"/>
      <c r="K10" s="4"/>
      <c r="L10" s="4"/>
      <c r="M10" s="4"/>
      <c r="N10" s="4" t="str">
        <f ca="1">IFERROR(__xludf.DUMMYFUNCTION("""COMPUTED_VALUE"""),"-")</f>
        <v>-</v>
      </c>
      <c r="O10" s="4" t="str">
        <f ca="1">IFERROR(__xludf.DUMMYFUNCTION("""COMPUTED_VALUE"""),"Yes")</f>
        <v>Yes</v>
      </c>
      <c r="P10" s="4" t="str">
        <f ca="1">IFERROR(__xludf.DUMMYFUNCTION("""COMPUTED_VALUE"""),"Share detail on image with Universal Viewer")</f>
        <v>Share detail on image with Universal Viewer</v>
      </c>
      <c r="Q10" s="4" t="str">
        <f ca="1">IFERROR(__xludf.DUMMYFUNCTION("""COMPUTED_VALUE"""),"Yes (or I have specific plans to use it in the future)")</f>
        <v>Yes (or I have specific plans to use it in the future)</v>
      </c>
      <c r="R10" s="4" t="str">
        <f ca="1">IFERROR(__xludf.DUMMYFUNCTION("""COMPUTED_VALUE"""),"Share detail on image with Universal Viewer, Compare items in the Mirador Viewer, Create a virtual tour in a.o. Exhibit, Embed a viewer on a web page, Download an image using Universal Viewer, Finding IIIF manifests using DetektIIIF")</f>
        <v>Share detail on image with Universal Viewer, Compare items in the Mirador Viewer, Create a virtual tour in a.o. Exhibit, Embed a viewer on a web page, Download an image using Universal Viewer, Finding IIIF manifests using DetektIIIF</v>
      </c>
      <c r="S10" s="4" t="str">
        <f ca="1">IFERROR(__xludf.DUMMYFUNCTION("""COMPUTED_VALUE"""),"No")</f>
        <v>No</v>
      </c>
      <c r="T10" s="4" t="str">
        <f ca="1">IFERROR(__xludf.DUMMYFUNCTION("""COMPUTED_VALUE"""),"Agree")</f>
        <v>Agree</v>
      </c>
      <c r="U10" s="4" t="str">
        <f ca="1">IFERROR(__xludf.DUMMYFUNCTION("""COMPUTED_VALUE"""),"Agree")</f>
        <v>Agree</v>
      </c>
      <c r="V10" s="4" t="str">
        <f ca="1">IFERROR(__xludf.DUMMYFUNCTION("""COMPUTED_VALUE"""),"Agree")</f>
        <v>Agree</v>
      </c>
      <c r="W10" s="4" t="str">
        <f ca="1">IFERROR(__xludf.DUMMYFUNCTION("""COMPUTED_VALUE"""),"Agree")</f>
        <v>Agree</v>
      </c>
      <c r="X10" s="4" t="str">
        <f ca="1">IFERROR(__xludf.DUMMYFUNCTION("""COMPUTED_VALUE"""),"Agree")</f>
        <v>Agree</v>
      </c>
      <c r="Y10" s="4"/>
      <c r="Z10" s="4" t="str">
        <f ca="1">IFERROR(__xludf.DUMMYFUNCTION("""COMPUTED_VALUE"""),"No")</f>
        <v>No</v>
      </c>
      <c r="AA10" s="4"/>
      <c r="AB10" s="4"/>
      <c r="AC10" s="4"/>
      <c r="AD10" s="4" t="str">
        <f ca="1">IFERROR(__xludf.DUMMYFUNCTION("""COMPUTED_VALUE"""),"-")</f>
        <v>-</v>
      </c>
      <c r="AE10" s="4" t="str">
        <f ca="1">IFERROR(__xludf.DUMMYFUNCTION("""COMPUTED_VALUE"""),"-")</f>
        <v>-</v>
      </c>
      <c r="AF10" s="4" t="str">
        <f ca="1">IFERROR(__xludf.DUMMYFUNCTION("""COMPUTED_VALUE"""),"Yes")</f>
        <v>Yes</v>
      </c>
      <c r="AG10" s="4" t="str">
        <f ca="1">IFERROR(__xludf.DUMMYFUNCTION("""COMPUTED_VALUE"""),"IIIF website (https://iiif.io/), IIIF consortium 5-day training (https://iiif.io/get-started/training/online-training/), IIIF consortium YouTube channel (https://www.youtube.com/@IIIF-Consortium), Awesome IIIF GitHub repository (https://github.com/IIIF/aw"&amp;"esome-iiif), IIIF Fridays of the IIIF Collegagroep Vlaanderen en Nederland, MMMONK website (https://www.mmmonk.be), website of meemoo (https://meemoo.be)")</f>
        <v>IIIF website (https://iiif.io/), IIIF consortium 5-day training (https://iiif.io/get-started/training/online-training/), IIIF consortium YouTube channel (https://www.youtube.com/@IIIF-Consortium), Awesome IIIF GitHub repository (https://github.com/IIIF/awesome-iiif), IIIF Fridays of the IIIF Collegagroep Vlaanderen en Nederland, MMMONK website (https://www.mmmonk.be), website of meemoo (https://meemoo.be)</v>
      </c>
      <c r="AH10" s="4"/>
      <c r="AI10" s="4" t="str">
        <f ca="1">IFERROR(__xludf.DUMMYFUNCTION("""COMPUTED_VALUE"""),"iveta.berga.muizniece@gmail.com")</f>
        <v>iveta.berga.muizniece@gmail.com</v>
      </c>
      <c r="AJ10" s="4"/>
      <c r="AK10" s="4"/>
      <c r="AL10" s="4"/>
      <c r="AM10" s="4"/>
      <c r="AN10" s="4"/>
      <c r="AO10" s="4"/>
    </row>
    <row r="11" spans="1:41" x14ac:dyDescent="0.25">
      <c r="A11" s="5">
        <f ca="1">IFERROR(__xludf.DUMMYFUNCTION("""COMPUTED_VALUE"""),45398.725342581)</f>
        <v>45398.725342580998</v>
      </c>
      <c r="B11" s="4" t="str">
        <f ca="1">IFERROR(__xludf.DUMMYFUNCTION("""COMPUTED_VALUE"""),"Vrijwilliger archiefwerking en geïnteresseerd in la uscripten")</f>
        <v>Vrijwilliger archiefwerking en geïnteresseerd in la uscripten</v>
      </c>
      <c r="C11" s="4" t="str">
        <f ca="1">IFERROR(__xludf.DUMMYFUNCTION("""COMPUTED_VALUE"""),"Geen expertise")</f>
        <v>Geen expertise</v>
      </c>
      <c r="D11" s="4" t="str">
        <f ca="1">IFERROR(__xludf.DUMMYFUNCTION("""COMPUTED_VALUE"""),"Belgium")</f>
        <v>Belgium</v>
      </c>
      <c r="E11" s="4"/>
      <c r="F11" s="4" t="str">
        <f ca="1">IFERROR(__xludf.DUMMYFUNCTION("""COMPUTED_VALUE"""),"75-84")</f>
        <v>75-84</v>
      </c>
      <c r="G11" s="4" t="str">
        <f ca="1">IFERROR(__xludf.DUMMYFUNCTION("""COMPUTED_VALUE"""),"Ghent University Library, 2024-03-11")</f>
        <v>Ghent University Library, 2024-03-11</v>
      </c>
      <c r="H11" s="4" t="str">
        <f ca="1">IFERROR(__xludf.DUMMYFUNCTION("""COMPUTED_VALUE"""),"No, I had never heard the IIIF acronym or seen/noticed the IIIF logo before I registered for the Mmmonk IIIF Workshop.")</f>
        <v>No, I had never heard the IIIF acronym or seen/noticed the IIIF logo before I registered for the Mmmonk IIIF Workshop.</v>
      </c>
      <c r="I11" s="4" t="str">
        <f ca="1">IFERROR(__xludf.DUMMYFUNCTION("""COMPUTED_VALUE"""),"No")</f>
        <v>No</v>
      </c>
      <c r="J11" s="4"/>
      <c r="K11" s="4"/>
      <c r="L11" s="4"/>
      <c r="M11" s="4"/>
      <c r="N11" s="4" t="str">
        <f ca="1">IFERROR(__xludf.DUMMYFUNCTION("""COMPUTED_VALUE"""),"Onderzoek en conservering van kwetsbare exemplaren")</f>
        <v>Onderzoek en conservering van kwetsbare exemplaren</v>
      </c>
      <c r="O11" s="4" t="str">
        <f ca="1">IFERROR(__xludf.DUMMYFUNCTION("""COMPUTED_VALUE"""),"No")</f>
        <v>No</v>
      </c>
      <c r="P11" s="4" t="str">
        <f ca="1">IFERROR(__xludf.DUMMYFUNCTION("""COMPUTED_VALUE"""),"Ik heb de workshop niet bijgewoond")</f>
        <v>Ik heb de workshop niet bijgewoond</v>
      </c>
      <c r="Q11" s="4" t="str">
        <f ca="1">IFERROR(__xludf.DUMMYFUNCTION("""COMPUTED_VALUE"""),"No")</f>
        <v>No</v>
      </c>
      <c r="R11" s="4"/>
      <c r="S11" s="4"/>
      <c r="T11" s="4"/>
      <c r="U11" s="4"/>
      <c r="V11" s="4"/>
      <c r="W11" s="4"/>
      <c r="X11" s="4"/>
      <c r="Y11" s="4"/>
      <c r="Z11" s="4"/>
      <c r="AA11" s="4"/>
      <c r="AB11" s="4" t="str">
        <f ca="1">IFERROR(__xludf.DUMMYFUNCTION("""COMPUTED_VALUE"""),"Heb de workshop niet bijgewoond en kan bijgevolg niet antwoorden")</f>
        <v>Heb de workshop niet bijgewoond en kan bijgevolg niet antwoorden</v>
      </c>
      <c r="AC11" s="4" t="str">
        <f ca="1">IFERROR(__xludf.DUMMYFUNCTION("""COMPUTED_VALUE"""),"Ik zal er niet mee in aanraking komen maar ben wel erg geinteresseerd")</f>
        <v>Ik zal er niet mee in aanraking komen maar ben wel erg geinteresseerd</v>
      </c>
      <c r="AD11" s="4" t="str">
        <f ca="1">IFERROR(__xludf.DUMMYFUNCTION("""COMPUTED_VALUE"""),"Bij het lezen stuit ik soms op belangrijke collecties en manuscripten dan zou ik er meer over willen weten ")</f>
        <v xml:space="preserve">Bij het lezen stuit ik soms op belangrijke collecties en manuscripten dan zou ik er meer over willen weten </v>
      </c>
      <c r="AE11" s="4" t="str">
        <f ca="1">IFERROR(__xludf.DUMMYFUNCTION("""COMPUTED_VALUE"""),"Inzicht verwerven over eventuele hulp")</f>
        <v>Inzicht verwerven over eventuele hulp</v>
      </c>
      <c r="AF11" s="4" t="str">
        <f ca="1">IFERROR(__xludf.DUMMYFUNCTION("""COMPUTED_VALUE"""),"No")</f>
        <v>No</v>
      </c>
      <c r="AG11" s="4"/>
      <c r="AH11" s="4" t="str">
        <f ca="1">IFERROR(__xludf.DUMMYFUNCTION("""COMPUTED_VALUE"""),"Het ontdekken van belangrijke collecties ")</f>
        <v xml:space="preserve">Het ontdekken van belangrijke collecties </v>
      </c>
      <c r="AI11" s="4" t="str">
        <f ca="1">IFERROR(__xludf.DUMMYFUNCTION("""COMPUTED_VALUE"""),"Ik zou graag op de hoogte gebracht worden van de bevindingen")</f>
        <v>Ik zou graag op de hoogte gebracht worden van de bevindingen</v>
      </c>
      <c r="AJ11" s="4"/>
      <c r="AK11" s="4"/>
      <c r="AL11" s="4"/>
      <c r="AM11" s="4"/>
      <c r="AN11" s="4"/>
      <c r="AO11" s="4"/>
    </row>
    <row r="12" spans="1:41" x14ac:dyDescent="0.25">
      <c r="A12" s="5">
        <f ca="1">IFERROR(__xludf.DUMMYFUNCTION("""COMPUTED_VALUE"""),45398.7993935069)</f>
        <v>45398.799393506903</v>
      </c>
      <c r="B12" s="4" t="str">
        <f ca="1">IFERROR(__xludf.DUMMYFUNCTION("""COMPUTED_VALUE"""),"University (faculty)")</f>
        <v>University (faculty)</v>
      </c>
      <c r="C12" s="4" t="str">
        <f ca="1">IFERROR(__xludf.DUMMYFUNCTION("""COMPUTED_VALUE"""),"Research")</f>
        <v>Research</v>
      </c>
      <c r="D12" s="4" t="str">
        <f ca="1">IFERROR(__xludf.DUMMYFUNCTION("""COMPUTED_VALUE"""),"United Kingdom")</f>
        <v>United Kingdom</v>
      </c>
      <c r="E12" s="4"/>
      <c r="F12" s="4" t="str">
        <f ca="1">IFERROR(__xludf.DUMMYFUNCTION("""COMPUTED_VALUE"""),"45-54")</f>
        <v>45-54</v>
      </c>
      <c r="G12" s="4" t="str">
        <f ca="1">IFERROR(__xludf.DUMMYFUNCTION("""COMPUTED_VALUE"""),"York University, York's Centre for Medieval Studies, Dr. Hanna Vorholt, 2023-05-12")</f>
        <v>York University, York's Centre for Medieval Studies, Dr. Hanna Vorholt, 2023-05-12</v>
      </c>
      <c r="H12" s="4" t="str">
        <f ca="1">IFERROR(__xludf.DUMMYFUNCTION("""COMPUTED_VALUE"""),"Yes")</f>
        <v>Yes</v>
      </c>
      <c r="I12" s="4" t="str">
        <f ca="1">IFERROR(__xludf.DUMMYFUNCTION("""COMPUTED_VALUE"""),"No")</f>
        <v>No</v>
      </c>
      <c r="J12" s="4"/>
      <c r="K12" s="4"/>
      <c r="L12" s="4"/>
      <c r="M12" s="4"/>
      <c r="N12" s="4" t="str">
        <f ca="1">IFERROR(__xludf.DUMMYFUNCTION("""COMPUTED_VALUE"""),"It presents an international standard for how digital images (including of manuscripts) can be presented and shared. It works across institutions and different interfaces. ")</f>
        <v xml:space="preserve">It presents an international standard for how digital images (including of manuscripts) can be presented and shared. It works across institutions and different interfaces. </v>
      </c>
      <c r="O12" s="4" t="str">
        <f ca="1">IFERROR(__xludf.DUMMYFUNCTION("""COMPUTED_VALUE"""),"Yes")</f>
        <v>Yes</v>
      </c>
      <c r="P12" s="4" t="str">
        <f ca="1">IFERROR(__xludf.DUMMYFUNCTION("""COMPUTED_VALUE"""),"Compare items in the Mirador Viewer")</f>
        <v>Compare items in the Mirador Viewer</v>
      </c>
      <c r="Q12" s="4" t="str">
        <f ca="1">IFERROR(__xludf.DUMMYFUNCTION("""COMPUTED_VALUE"""),"Yes (or I have specific plans to use it in the future)")</f>
        <v>Yes (or I have specific plans to use it in the future)</v>
      </c>
      <c r="R12" s="4" t="str">
        <f ca="1">IFERROR(__xludf.DUMMYFUNCTION("""COMPUTED_VALUE"""),"Share detail on image with Universal Viewer, Compare items in the Mirador Viewer, Embed a viewer on a web page")</f>
        <v>Share detail on image with Universal Viewer, Compare items in the Mirador Viewer, Embed a viewer on a web page</v>
      </c>
      <c r="S12" s="4" t="str">
        <f ca="1">IFERROR(__xludf.DUMMYFUNCTION("""COMPUTED_VALUE"""),"Yes, I promoted IIIF to researchers, colleagues, students and/or external stakeholders")</f>
        <v>Yes, I promoted IIIF to researchers, colleagues, students and/or external stakeholders</v>
      </c>
      <c r="T12" s="4" t="str">
        <f ca="1">IFERROR(__xludf.DUMMYFUNCTION("""COMPUTED_VALUE"""),"Agree")</f>
        <v>Agree</v>
      </c>
      <c r="U12" s="4" t="str">
        <f ca="1">IFERROR(__xludf.DUMMYFUNCTION("""COMPUTED_VALUE"""),"Agree")</f>
        <v>Agree</v>
      </c>
      <c r="V12" s="4" t="str">
        <f ca="1">IFERROR(__xludf.DUMMYFUNCTION("""COMPUTED_VALUE"""),"Strongly agree")</f>
        <v>Strongly agree</v>
      </c>
      <c r="W12" s="4" t="str">
        <f ca="1">IFERROR(__xludf.DUMMYFUNCTION("""COMPUTED_VALUE"""),"Strongly disagree")</f>
        <v>Strongly disagree</v>
      </c>
      <c r="X12" s="4" t="str">
        <f ca="1">IFERROR(__xludf.DUMMYFUNCTION("""COMPUTED_VALUE"""),"Strongly agree")</f>
        <v>Strongly agree</v>
      </c>
      <c r="Y12" s="4"/>
      <c r="Z12" s="4" t="str">
        <f ca="1">IFERROR(__xludf.DUMMYFUNCTION("""COMPUTED_VALUE"""),"Yes")</f>
        <v>Yes</v>
      </c>
      <c r="AA12" s="4"/>
      <c r="AB12" s="4"/>
      <c r="AC12" s="4"/>
      <c r="AD12" s="4" t="str">
        <f ca="1">IFERROR(__xludf.DUMMYFUNCTION("""COMPUTED_VALUE"""),"I liked the clarity of the instructions and the opportunity to work through individual examples, which helped me implement the learning straight away. The workshop leader identified and explained all those aspects about IIIF that are most immediately usef"&amp;"ul in every-day scenarios: she made it immediately obvious how IIIF can be relevant to research, teaching and outreach, but also explained pragmatically how to go about impementing it, what pitfalls to avoid and what tricks to use, which was great. It tur"&amp;"ned something that initially appeared very complex and technical into something that we were able to use. I also want to highlight here the website as a great educational resource: this helped structure the workshop, but also enabled me to then refer back"&amp;" to it and follow up the learning and remind myself of the individual steps. ")</f>
        <v xml:space="preserve">I liked the clarity of the instructions and the opportunity to work through individual examples, which helped me implement the learning straight away. The workshop leader identified and explained all those aspects about IIIF that are most immediately useful in every-day scenarios: she made it immediately obvious how IIIF can be relevant to research, teaching and outreach, but also explained pragmatically how to go about impementing it, what pitfalls to avoid and what tricks to use, which was great. It turned something that initially appeared very complex and technical into something that we were able to use. I also want to highlight here the website as a great educational resource: this helped structure the workshop, but also enabled me to then refer back to it and follow up the learning and remind myself of the individual steps. </v>
      </c>
      <c r="AE12" s="4" t="str">
        <f ca="1">IFERROR(__xludf.DUMMYFUNCTION("""COMPUTED_VALUE"""),"n/a")</f>
        <v>n/a</v>
      </c>
      <c r="AF12" s="4" t="str">
        <f ca="1">IFERROR(__xludf.DUMMYFUNCTION("""COMPUTED_VALUE"""),"Yes")</f>
        <v>Yes</v>
      </c>
      <c r="AG12" s="4" t="str">
        <f ca="1">IFERROR(__xludf.DUMMYFUNCTION("""COMPUTED_VALUE"""),"MMMONK website (https://www.mmmonk.be)")</f>
        <v>MMMONK website (https://www.mmmonk.be)</v>
      </c>
      <c r="AH12" s="4" t="str">
        <f ca="1">IFERROR(__xludf.DUMMYFUNCTION("""COMPUTED_VALUE"""),"Thank you!")</f>
        <v>Thank you!</v>
      </c>
      <c r="AI12" s="4"/>
      <c r="AJ12" s="4"/>
      <c r="AK12" s="4"/>
      <c r="AL12" s="4"/>
      <c r="AM12" s="4"/>
      <c r="AN12" s="4"/>
      <c r="AO12" s="4"/>
    </row>
    <row r="13" spans="1:41" x14ac:dyDescent="0.25">
      <c r="A13" s="5">
        <f ca="1">IFERROR(__xludf.DUMMYFUNCTION("""COMPUTED_VALUE"""),45399.4420656944)</f>
        <v>45399.442065694398</v>
      </c>
      <c r="B13" s="4" t="str">
        <f ca="1">IFERROR(__xludf.DUMMYFUNCTION("""COMPUTED_VALUE"""),"University (faculty)")</f>
        <v>University (faculty)</v>
      </c>
      <c r="C13" s="4" t="str">
        <f ca="1">IFERROR(__xludf.DUMMYFUNCTION("""COMPUTED_VALUE"""),"Research")</f>
        <v>Research</v>
      </c>
      <c r="D13" s="4" t="str">
        <f ca="1">IFERROR(__xludf.DUMMYFUNCTION("""COMPUTED_VALUE"""),"Austria")</f>
        <v>Austria</v>
      </c>
      <c r="E13" s="4"/>
      <c r="F13" s="4" t="str">
        <f ca="1">IFERROR(__xludf.DUMMYFUNCTION("""COMPUTED_VALUE"""),"35-44")</f>
        <v>35-44</v>
      </c>
      <c r="G13" s="4" t="str">
        <f ca="1">IFERROR(__xludf.DUMMYFUNCTION("""COMPUTED_VALUE"""),"Mmmonk School 2023, 2023-12-01")</f>
        <v>Mmmonk School 2023, 2023-12-01</v>
      </c>
      <c r="H13" s="4" t="str">
        <f ca="1">IFERROR(__xludf.DUMMYFUNCTION("""COMPUTED_VALUE"""),"No, I had never heard the IIIF acronym or seen/noticed the IIIF logo before I registered for the Mmmonk IIIF Workshop.")</f>
        <v>No, I had never heard the IIIF acronym or seen/noticed the IIIF logo before I registered for the Mmmonk IIIF Workshop.</v>
      </c>
      <c r="I13" s="4" t="str">
        <f ca="1">IFERROR(__xludf.DUMMYFUNCTION("""COMPUTED_VALUE"""),"No")</f>
        <v>No</v>
      </c>
      <c r="J13" s="4"/>
      <c r="K13" s="4"/>
      <c r="L13" s="4"/>
      <c r="M13" s="4"/>
      <c r="N13" s="4" t="str">
        <f ca="1">IFERROR(__xludf.DUMMYFUNCTION("""COMPUTED_VALUE"""),"IIIF is short for International Image Interoperability Framework. Via uniform packaging (manifest) images can be taken form isolated local servers and be made inter-operable and universally readable to be viewed and worked with through sites like Mirador.")</f>
        <v>IIIF is short for International Image Interoperability Framework. Via uniform packaging (manifest) images can be taken form isolated local servers and be made inter-operable and universally readable to be viewed and worked with through sites like Mirador.</v>
      </c>
      <c r="O13" s="4" t="str">
        <f ca="1">IFERROR(__xludf.DUMMYFUNCTION("""COMPUTED_VALUE"""),"Yes")</f>
        <v>Yes</v>
      </c>
      <c r="P13" s="4" t="str">
        <f ca="1">IFERROR(__xludf.DUMMYFUNCTION("""COMPUTED_VALUE"""),"Compare items in the Mirador Viewer")</f>
        <v>Compare items in the Mirador Viewer</v>
      </c>
      <c r="Q13" s="4" t="str">
        <f ca="1">IFERROR(__xludf.DUMMYFUNCTION("""COMPUTED_VALUE"""),"Yes (or I have specific plans to use it in the future)")</f>
        <v>Yes (or I have specific plans to use it in the future)</v>
      </c>
      <c r="R13" s="4" t="str">
        <f ca="1">IFERROR(__xludf.DUMMYFUNCTION("""COMPUTED_VALUE"""),"Share detail on image with Universal Viewer, Compare items in the Mirador Viewer")</f>
        <v>Share detail on image with Universal Viewer, Compare items in the Mirador Viewer</v>
      </c>
      <c r="S13" s="4" t="str">
        <f ca="1">IFERROR(__xludf.DUMMYFUNCTION("""COMPUTED_VALUE"""),"Yes, I promoted IIIF to researchers, colleagues, students and/or external stakeholders")</f>
        <v>Yes, I promoted IIIF to researchers, colleagues, students and/or external stakeholders</v>
      </c>
      <c r="T13" s="4" t="str">
        <f ca="1">IFERROR(__xludf.DUMMYFUNCTION("""COMPUTED_VALUE"""),"Agree")</f>
        <v>Agree</v>
      </c>
      <c r="U13" s="4" t="str">
        <f ca="1">IFERROR(__xludf.DUMMYFUNCTION("""COMPUTED_VALUE"""),"Agree")</f>
        <v>Agree</v>
      </c>
      <c r="V13" s="4" t="str">
        <f ca="1">IFERROR(__xludf.DUMMYFUNCTION("""COMPUTED_VALUE"""),"Agree")</f>
        <v>Agree</v>
      </c>
      <c r="W13" s="4" t="str">
        <f ca="1">IFERROR(__xludf.DUMMYFUNCTION("""COMPUTED_VALUE"""),"Strongly disagree")</f>
        <v>Strongly disagree</v>
      </c>
      <c r="X13" s="4" t="str">
        <f ca="1">IFERROR(__xludf.DUMMYFUNCTION("""COMPUTED_VALUE"""),"Strongly agree")</f>
        <v>Strongly agree</v>
      </c>
      <c r="Y13" s="4"/>
      <c r="Z13" s="4" t="str">
        <f ca="1">IFERROR(__xludf.DUMMYFUNCTION("""COMPUTED_VALUE"""),"Yes")</f>
        <v>Yes</v>
      </c>
      <c r="AA13" s="4"/>
      <c r="AB13" s="4"/>
      <c r="AC13" s="4"/>
      <c r="AD13" s="4" t="str">
        <f ca="1">IFERROR(__xludf.DUMMYFUNCTION("""COMPUTED_VALUE"""),"Interdisciplinary work.
Expert knowledge.
Mix of theoretical and practical use.
Useful, realistic examples.
Option to re-watch.")</f>
        <v>Interdisciplinary work.
Expert knowledge.
Mix of theoretical and practical use.
Useful, realistic examples.
Option to re-watch.</v>
      </c>
      <c r="AE13" s="4" t="str">
        <f ca="1">IFERROR(__xludf.DUMMYFUNCTION("""COMPUTED_VALUE"""),"-")</f>
        <v>-</v>
      </c>
      <c r="AF13" s="4" t="str">
        <f ca="1">IFERROR(__xludf.DUMMYFUNCTION("""COMPUTED_VALUE"""),"No")</f>
        <v>No</v>
      </c>
      <c r="AG13" s="4"/>
      <c r="AH13" s="4"/>
      <c r="AI13" s="4" t="str">
        <f ca="1">IFERROR(__xludf.DUMMYFUNCTION("""COMPUTED_VALUE"""),"melissa.bastian@univie.ac.at")</f>
        <v>melissa.bastian@univie.ac.at</v>
      </c>
      <c r="AJ13" s="4"/>
      <c r="AK13" s="4"/>
      <c r="AL13" s="4"/>
      <c r="AM13" s="4"/>
      <c r="AN13" s="4"/>
      <c r="AO13" s="4"/>
    </row>
    <row r="14" spans="1:41" x14ac:dyDescent="0.25">
      <c r="A14" s="5">
        <f ca="1">IFERROR(__xludf.DUMMYFUNCTION("""COMPUTED_VALUE"""),45399.5748956597)</f>
        <v>45399.574895659702</v>
      </c>
      <c r="B14" s="4" t="str">
        <f ca="1">IFERROR(__xludf.DUMMYFUNCTION("""COMPUTED_VALUE"""),"University (faculty)")</f>
        <v>University (faculty)</v>
      </c>
      <c r="C14" s="4" t="str">
        <f ca="1">IFERROR(__xludf.DUMMYFUNCTION("""COMPUTED_VALUE"""),"Student")</f>
        <v>Student</v>
      </c>
      <c r="D14" s="4" t="str">
        <f ca="1">IFERROR(__xludf.DUMMYFUNCTION("""COMPUTED_VALUE"""),"Belgium")</f>
        <v>Belgium</v>
      </c>
      <c r="E14" s="4"/>
      <c r="F14" s="4" t="str">
        <f ca="1">IFERROR(__xludf.DUMMYFUNCTION("""COMPUTED_VALUE"""),"45-54")</f>
        <v>45-54</v>
      </c>
      <c r="G14" s="4" t="str">
        <f ca="1">IFERROR(__xludf.DUMMYFUNCTION("""COMPUTED_VALUE"""),"Mmmonk School 2022, 2022-12-16")</f>
        <v>Mmmonk School 2022, 2022-12-16</v>
      </c>
      <c r="H14" s="4" t="str">
        <f ca="1">IFERROR(__xludf.DUMMYFUNCTION("""COMPUTED_VALUE"""),"No, I had never heard the IIIF acronym or seen/noticed the IIIF logo before I registered for the Mmmonk IIIF Workshop.")</f>
        <v>No, I had never heard the IIIF acronym or seen/noticed the IIIF logo before I registered for the Mmmonk IIIF Workshop.</v>
      </c>
      <c r="I14" s="4" t="str">
        <f ca="1">IFERROR(__xludf.DUMMYFUNCTION("""COMPUTED_VALUE"""),"No")</f>
        <v>No</v>
      </c>
      <c r="J14" s="4"/>
      <c r="K14" s="4"/>
      <c r="L14" s="4"/>
      <c r="M14" s="4"/>
      <c r="N14" s="4" t="str">
        <f ca="1">IFERROR(__xludf.DUMMYFUNCTION("""COMPUTED_VALUE"""),"Open source data used by archives, libraries and musea to manage and exchange digital imaging and metadata of their own collection. ")</f>
        <v xml:space="preserve">Open source data used by archives, libraries and musea to manage and exchange digital imaging and metadata of their own collection. </v>
      </c>
      <c r="O14" s="4" t="str">
        <f ca="1">IFERROR(__xludf.DUMMYFUNCTION("""COMPUTED_VALUE"""),"Yes")</f>
        <v>Yes</v>
      </c>
      <c r="P14" s="4" t="str">
        <f ca="1">IFERROR(__xludf.DUMMYFUNCTION("""COMPUTED_VALUE"""),"Compare items in the Mirador Viewer")</f>
        <v>Compare items in the Mirador Viewer</v>
      </c>
      <c r="Q14" s="4" t="str">
        <f ca="1">IFERROR(__xludf.DUMMYFUNCTION("""COMPUTED_VALUE"""),"Yes (or I have specific plans to use it in the future)")</f>
        <v>Yes (or I have specific plans to use it in the future)</v>
      </c>
      <c r="R14" s="4" t="str">
        <f ca="1">IFERROR(__xludf.DUMMYFUNCTION("""COMPUTED_VALUE"""),"Share detail on image with Universal Viewer, Compare items in the Mirador Viewer, Embed a viewer on a web page")</f>
        <v>Share detail on image with Universal Viewer, Compare items in the Mirador Viewer, Embed a viewer on a web page</v>
      </c>
      <c r="S14" s="4" t="str">
        <f ca="1">IFERROR(__xludf.DUMMYFUNCTION("""COMPUTED_VALUE"""),"Yes, as input for the design of web based applications")</f>
        <v>Yes, as input for the design of web based applications</v>
      </c>
      <c r="T14" s="4" t="str">
        <f ca="1">IFERROR(__xludf.DUMMYFUNCTION("""COMPUTED_VALUE"""),"Strongly agree")</f>
        <v>Strongly agree</v>
      </c>
      <c r="U14" s="4" t="str">
        <f ca="1">IFERROR(__xludf.DUMMYFUNCTION("""COMPUTED_VALUE"""),"Strongly agree")</f>
        <v>Strongly agree</v>
      </c>
      <c r="V14" s="4" t="str">
        <f ca="1">IFERROR(__xludf.DUMMYFUNCTION("""COMPUTED_VALUE"""),"Agree")</f>
        <v>Agree</v>
      </c>
      <c r="W14" s="4" t="str">
        <f ca="1">IFERROR(__xludf.DUMMYFUNCTION("""COMPUTED_VALUE"""),"No opinion")</f>
        <v>No opinion</v>
      </c>
      <c r="X14" s="4" t="str">
        <f ca="1">IFERROR(__xludf.DUMMYFUNCTION("""COMPUTED_VALUE"""),"Strongly agree")</f>
        <v>Strongly agree</v>
      </c>
      <c r="Y14" s="4"/>
      <c r="Z14" s="4" t="str">
        <f ca="1">IFERROR(__xludf.DUMMYFUNCTION("""COMPUTED_VALUE"""),"Yes")</f>
        <v>Yes</v>
      </c>
      <c r="AA14" s="4"/>
      <c r="AB14" s="4"/>
      <c r="AC14" s="4"/>
      <c r="AD14" s="4" t="str">
        <f ca="1">IFERROR(__xludf.DUMMYFUNCTION("""COMPUTED_VALUE"""),"All of it. It was really interesting and exciting.")</f>
        <v>All of it. It was really interesting and exciting.</v>
      </c>
      <c r="AE14" s="4" t="str">
        <f ca="1">IFERROR(__xludf.DUMMYFUNCTION("""COMPUTED_VALUE"""),"-")</f>
        <v>-</v>
      </c>
      <c r="AF14" s="4" t="str">
        <f ca="1">IFERROR(__xludf.DUMMYFUNCTION("""COMPUTED_VALUE"""),"Yes")</f>
        <v>Yes</v>
      </c>
      <c r="AG14" s="4" t="str">
        <f ca="1">IFERROR(__xludf.DUMMYFUNCTION("""COMPUTED_VALUE"""),"MMMONK website (https://www.mmmonk.be)")</f>
        <v>MMMONK website (https://www.mmmonk.be)</v>
      </c>
      <c r="AH14" s="4"/>
      <c r="AI14" s="4"/>
      <c r="AJ14" s="4"/>
      <c r="AK14" s="4"/>
      <c r="AL14" s="4"/>
      <c r="AM14" s="4"/>
      <c r="AN14" s="4"/>
      <c r="AO14" s="4"/>
    </row>
    <row r="15" spans="1:41" x14ac:dyDescent="0.25">
      <c r="A15" s="5">
        <f ca="1">IFERROR(__xludf.DUMMYFUNCTION("""COMPUTED_VALUE"""),45399.6086665856)</f>
        <v>45399.608666585598</v>
      </c>
      <c r="B15" s="4" t="str">
        <f ca="1">IFERROR(__xludf.DUMMYFUNCTION("""COMPUTED_VALUE"""),"Library (including university library)")</f>
        <v>Library (including university library)</v>
      </c>
      <c r="C15" s="4" t="str">
        <f ca="1">IFERROR(__xludf.DUMMYFUNCTION("""COMPUTED_VALUE"""),"Preservation Science")</f>
        <v>Preservation Science</v>
      </c>
      <c r="D15" s="4" t="str">
        <f ca="1">IFERROR(__xludf.DUMMYFUNCTION("""COMPUTED_VALUE"""),"United States")</f>
        <v>United States</v>
      </c>
      <c r="E15" s="4"/>
      <c r="F15" s="4" t="str">
        <f ca="1">IFERROR(__xludf.DUMMYFUNCTION("""COMPUTED_VALUE"""),"18-24")</f>
        <v>18-24</v>
      </c>
      <c r="G15" s="4" t="str">
        <f ca="1">IFERROR(__xludf.DUMMYFUNCTION("""COMPUTED_VALUE"""),"Library of Congress, Dr. Fenella France, 2024-03-14")</f>
        <v>Library of Congress, Dr. Fenella France, 2024-03-14</v>
      </c>
      <c r="H15" s="4" t="str">
        <f ca="1">IFERROR(__xludf.DUMMYFUNCTION("""COMPUTED_VALUE"""),"No, I had never heard the IIIF acronym or seen/noticed the IIIF logo before I registered for the Mmmonk IIIF Workshop.")</f>
        <v>No, I had never heard the IIIF acronym or seen/noticed the IIIF logo before I registered for the Mmmonk IIIF Workshop.</v>
      </c>
      <c r="I15" s="4" t="str">
        <f ca="1">IFERROR(__xludf.DUMMYFUNCTION("""COMPUTED_VALUE"""),"No")</f>
        <v>No</v>
      </c>
      <c r="J15" s="4"/>
      <c r="K15" s="4"/>
      <c r="L15" s="4"/>
      <c r="M15" s="4"/>
      <c r="N15" s="4" t="str">
        <f ca="1">IFERROR(__xludf.DUMMYFUNCTION("""COMPUTED_VALUE"""),"IIIF is a kind of code(?) that allows for images and metadata to be easily shared across multiple platforms. The images and metadata are stored in one digital location but through IIIF, can be accessed elsewhere without the need for duplication. ")</f>
        <v xml:space="preserve">IIIF is a kind of code(?) that allows for images and metadata to be easily shared across multiple platforms. The images and metadata are stored in one digital location but through IIIF, can be accessed elsewhere without the need for duplication. </v>
      </c>
      <c r="O15" s="4" t="str">
        <f ca="1">IFERROR(__xludf.DUMMYFUNCTION("""COMPUTED_VALUE"""),"No")</f>
        <v>No</v>
      </c>
      <c r="P15" s="4" t="str">
        <f ca="1">IFERROR(__xludf.DUMMYFUNCTION("""COMPUTED_VALUE"""),"Compare items in the Mirador Viewer")</f>
        <v>Compare items in the Mirador Viewer</v>
      </c>
      <c r="Q15" s="4" t="str">
        <f ca="1">IFERROR(__xludf.DUMMYFUNCTION("""COMPUTED_VALUE"""),"No")</f>
        <v>No</v>
      </c>
      <c r="R15" s="4"/>
      <c r="S15" s="4"/>
      <c r="T15" s="4"/>
      <c r="U15" s="4"/>
      <c r="V15" s="4"/>
      <c r="W15" s="4"/>
      <c r="X15" s="4"/>
      <c r="Y15" s="4"/>
      <c r="Z15" s="4"/>
      <c r="AA15" s="4"/>
      <c r="AB15" s="4" t="str">
        <f ca="1">IFERROR(__xludf.DUMMYFUNCTION("""COMPUTED_VALUE"""),"Haven't had the time or occasion yet")</f>
        <v>Haven't had the time or occasion yet</v>
      </c>
      <c r="AC15" s="4" t="str">
        <f ca="1">IFERROR(__xludf.DUMMYFUNCTION("""COMPUTED_VALUE"""),"More widespread use of IIIF so that I would not have to mix IIIF and non-IIIF items")</f>
        <v>More widespread use of IIIF so that I would not have to mix IIIF and non-IIIF items</v>
      </c>
      <c r="AD15" s="4" t="str">
        <f ca="1">IFERROR(__xludf.DUMMYFUNCTION("""COMPUTED_VALUE"""),"I liked most the hands-on activities embedded into the workshop because I feel this ensures that participants walk away with hands-on skills by the end of the workshop. I also enjoyed the smallness of the workshop so that people could ask questions and ge"&amp;"t personalized attention. ")</f>
        <v xml:space="preserve">I liked most the hands-on activities embedded into the workshop because I feel this ensures that participants walk away with hands-on skills by the end of the workshop. I also enjoyed the smallness of the workshop so that people could ask questions and get personalized attention. </v>
      </c>
      <c r="AE15" s="4" t="str">
        <f ca="1">IFERROR(__xludf.DUMMYFUNCTION("""COMPUTED_VALUE"""),"I understand that this workshop is meant to be for beginners, but if more background information about code/what a manifest actually is could be given, I think that would help improve the completeness of the information provided. ")</f>
        <v xml:space="preserve">I understand that this workshop is meant to be for beginners, but if more background information about code/what a manifest actually is could be given, I think that would help improve the completeness of the information provided. </v>
      </c>
      <c r="AF15" s="4" t="str">
        <f ca="1">IFERROR(__xludf.DUMMYFUNCTION("""COMPUTED_VALUE"""),"No")</f>
        <v>No</v>
      </c>
      <c r="AG15" s="4"/>
      <c r="AH15" s="4"/>
      <c r="AI15" s="4"/>
      <c r="AJ15" s="4"/>
      <c r="AK15" s="4"/>
      <c r="AL15" s="4"/>
      <c r="AM15" s="4"/>
      <c r="AN15" s="4"/>
      <c r="AO15" s="4"/>
    </row>
    <row r="16" spans="1:41" x14ac:dyDescent="0.25">
      <c r="A16" s="5">
        <f ca="1">IFERROR(__xludf.DUMMYFUNCTION("""COMPUTED_VALUE"""),45400.3798577893)</f>
        <v>45400.379857789303</v>
      </c>
      <c r="B16" s="4" t="str">
        <f ca="1">IFERROR(__xludf.DUMMYFUNCTION("""COMPUTED_VALUE"""),"Supporting organisation or service provider")</f>
        <v>Supporting organisation or service provider</v>
      </c>
      <c r="C16" s="4" t="str">
        <f ca="1">IFERROR(__xludf.DUMMYFUNCTION("""COMPUTED_VALUE"""),"ICT")</f>
        <v>ICT</v>
      </c>
      <c r="D16" s="4" t="str">
        <f ca="1">IFERROR(__xludf.DUMMYFUNCTION("""COMPUTED_VALUE"""),"Belgium")</f>
        <v>Belgium</v>
      </c>
      <c r="E16" s="4"/>
      <c r="F16" s="4" t="str">
        <f ca="1">IFERROR(__xludf.DUMMYFUNCTION("""COMPUTED_VALUE"""),"45-54")</f>
        <v>45-54</v>
      </c>
      <c r="G16" s="4" t="str">
        <f ca="1">IFERROR(__xludf.DUMMYFUNCTION("""COMPUTED_VALUE"""),"meemoo, Flemish institute for archives, 2023-12-14")</f>
        <v>meemoo, Flemish institute for archives, 2023-12-14</v>
      </c>
      <c r="H16" s="4" t="str">
        <f ca="1">IFERROR(__xludf.DUMMYFUNCTION("""COMPUTED_VALUE"""),"Yes")</f>
        <v>Yes</v>
      </c>
      <c r="I16" s="4" t="str">
        <f ca="1">IFERROR(__xludf.DUMMYFUNCTION("""COMPUTED_VALUE"""),"No")</f>
        <v>No</v>
      </c>
      <c r="J16" s="4"/>
      <c r="K16" s="4"/>
      <c r="L16" s="4"/>
      <c r="M16" s="4"/>
      <c r="N16" s="4" t="str">
        <f ca="1">IFERROR(__xludf.DUMMYFUNCTION("""COMPUTED_VALUE"""),"een standaard die het ontsluiten en uitwisselen van beeldmateriaal beschrijft")</f>
        <v>een standaard die het ontsluiten en uitwisselen van beeldmateriaal beschrijft</v>
      </c>
      <c r="O16" s="4" t="str">
        <f ca="1">IFERROR(__xludf.DUMMYFUNCTION("""COMPUTED_VALUE"""),"No")</f>
        <v>No</v>
      </c>
      <c r="P16" s="4" t="str">
        <f ca="1">IFERROR(__xludf.DUMMYFUNCTION("""COMPUTED_VALUE"""),"Finding IIIF manifests using DetektIIIF")</f>
        <v>Finding IIIF manifests using DetektIIIF</v>
      </c>
      <c r="Q16" s="4" t="str">
        <f ca="1">IFERROR(__xludf.DUMMYFUNCTION("""COMPUTED_VALUE"""),"No")</f>
        <v>No</v>
      </c>
      <c r="R16" s="4"/>
      <c r="S16" s="4"/>
      <c r="T16" s="4"/>
      <c r="U16" s="4"/>
      <c r="V16" s="4"/>
      <c r="W16" s="4"/>
      <c r="X16" s="4"/>
      <c r="Y16" s="4"/>
      <c r="Z16" s="4"/>
      <c r="AA16" s="4"/>
      <c r="AB16" s="4" t="str">
        <f ca="1">IFERROR(__xludf.DUMMYFUNCTION("""COMPUTED_VALUE"""),"op dit moment binnen mijn job is enkel de theoretische kennis noodzakelijk")</f>
        <v>op dit moment binnen mijn job is enkel de theoretische kennis noodzakelijk</v>
      </c>
      <c r="AC16" s="4" t="str">
        <f ca="1">IFERROR(__xludf.DUMMYFUNCTION("""COMPUTED_VALUE"""),"dat zal afhangen van de verdere projectplanning")</f>
        <v>dat zal afhangen van de verdere projectplanning</v>
      </c>
      <c r="AD16" s="4" t="str">
        <f ca="1">IFERROR(__xludf.DUMMYFUNCTION("""COMPUTED_VALUE"""),"de praktijkgerichte oefeningen waarmee je meteen aan de slag kan")</f>
        <v>de praktijkgerichte oefeningen waarmee je meteen aan de slag kan</v>
      </c>
      <c r="AE16" s="4" t="str">
        <f ca="1">IFERROR(__xludf.DUMMYFUNCTION("""COMPUTED_VALUE"""),"niet meteen verandering nodig")</f>
        <v>niet meteen verandering nodig</v>
      </c>
      <c r="AF16" s="4" t="str">
        <f ca="1">IFERROR(__xludf.DUMMYFUNCTION("""COMPUTED_VALUE"""),"Yes")</f>
        <v>Yes</v>
      </c>
      <c r="AG16" s="4" t="str">
        <f ca="1">IFERROR(__xludf.DUMMYFUNCTION("""COMPUTED_VALUE"""),"IIIF website (https://iiif.io/), MMMONK website (https://www.mmmonk.be), ")</f>
        <v xml:space="preserve">IIIF website (https://iiif.io/), MMMONK website (https://www.mmmonk.be), </v>
      </c>
      <c r="AH16" s="4"/>
      <c r="AI16" s="4" t="str">
        <f ca="1">IFERROR(__xludf.DUMMYFUNCTION("""COMPUTED_VALUE"""),"esther.ooms@meemoo.be")</f>
        <v>esther.ooms@meemoo.be</v>
      </c>
      <c r="AJ16" s="4"/>
      <c r="AK16" s="4"/>
      <c r="AL16" s="4"/>
      <c r="AM16" s="4"/>
      <c r="AN16" s="4"/>
      <c r="AO16" s="4"/>
    </row>
    <row r="17" spans="1:41" x14ac:dyDescent="0.25">
      <c r="A17" s="5">
        <f ca="1">IFERROR(__xludf.DUMMYFUNCTION("""COMPUTED_VALUE"""),45400.5499974537)</f>
        <v>45400.549997453702</v>
      </c>
      <c r="B17" s="4" t="str">
        <f ca="1">IFERROR(__xludf.DUMMYFUNCTION("""COMPUTED_VALUE"""),"University (faculty)")</f>
        <v>University (faculty)</v>
      </c>
      <c r="C17" s="4" t="str">
        <f ca="1">IFERROR(__xludf.DUMMYFUNCTION("""COMPUTED_VALUE"""),"Student")</f>
        <v>Student</v>
      </c>
      <c r="D17" s="4" t="str">
        <f ca="1">IFERROR(__xludf.DUMMYFUNCTION("""COMPUTED_VALUE"""),"Germany")</f>
        <v>Germany</v>
      </c>
      <c r="E17" s="4"/>
      <c r="F17" s="4" t="str">
        <f ca="1">IFERROR(__xludf.DUMMYFUNCTION("""COMPUTED_VALUE"""),"18-24")</f>
        <v>18-24</v>
      </c>
      <c r="G17" s="4" t="str">
        <f ca="1">IFERROR(__xludf.DUMMYFUNCTION("""COMPUTED_VALUE"""),"Mmmonk School 2023, 2023-12-01")</f>
        <v>Mmmonk School 2023, 2023-12-01</v>
      </c>
      <c r="H17" s="4" t="str">
        <f ca="1">IFERROR(__xludf.DUMMYFUNCTION("""COMPUTED_VALUE"""),"No, I had never heard the IIIF acronym or seen/noticed the IIIF logo before I registered for the Mmmonk IIIF Workshop.")</f>
        <v>No, I had never heard the IIIF acronym or seen/noticed the IIIF logo before I registered for the Mmmonk IIIF Workshop.</v>
      </c>
      <c r="I17" s="4" t="str">
        <f ca="1">IFERROR(__xludf.DUMMYFUNCTION("""COMPUTED_VALUE"""),"No")</f>
        <v>No</v>
      </c>
      <c r="J17" s="4"/>
      <c r="K17" s="4"/>
      <c r="L17" s="4"/>
      <c r="M17" s="4"/>
      <c r="N17" s="4" t="str">
        <f ca="1">IFERROR(__xludf.DUMMYFUNCTION("""COMPUTED_VALUE"""),"IIIF is a project that offers a standard for the digital publication of images. It also coorperates with several academic institutions.")</f>
        <v>IIIF is a project that offers a standard for the digital publication of images. It also coorperates with several academic institutions.</v>
      </c>
      <c r="O17" s="4" t="str">
        <f ca="1">IFERROR(__xludf.DUMMYFUNCTION("""COMPUTED_VALUE"""),"No")</f>
        <v>No</v>
      </c>
      <c r="P17" s="4" t="str">
        <f ca="1">IFERROR(__xludf.DUMMYFUNCTION("""COMPUTED_VALUE"""),"Create a virtual tour in a.o. Exhibit")</f>
        <v>Create a virtual tour in a.o. Exhibit</v>
      </c>
      <c r="Q17" s="4" t="str">
        <f ca="1">IFERROR(__xludf.DUMMYFUNCTION("""COMPUTED_VALUE"""),"No")</f>
        <v>No</v>
      </c>
      <c r="R17" s="4"/>
      <c r="S17" s="4"/>
      <c r="T17" s="4"/>
      <c r="U17" s="4"/>
      <c r="V17" s="4"/>
      <c r="W17" s="4"/>
      <c r="X17" s="4"/>
      <c r="Y17" s="4"/>
      <c r="Z17" s="4"/>
      <c r="AA17" s="4"/>
      <c r="AB17" s="4" t="str">
        <f ca="1">IFERROR(__xludf.DUMMYFUNCTION("""COMPUTED_VALUE"""),"Haven't had the time or occasion yet")</f>
        <v>Haven't had the time or occasion yet</v>
      </c>
      <c r="AC17" s="4" t="str">
        <f ca="1">IFERROR(__xludf.DUMMYFUNCTION("""COMPUTED_VALUE"""),"It would just be the right occasion. ")</f>
        <v xml:space="preserve">It would just be the right occasion. </v>
      </c>
      <c r="AD17" s="4" t="str">
        <f ca="1">IFERROR(__xludf.DUMMYFUNCTION("""COMPUTED_VALUE"""),"I liked the fact that, while the workshop was online and you could ask questions after the presentation, the recordings of the talks were still published. This way I could rewatch the talks in case I had missed something and actually recommend them to som"&amp;"e peers and even a tutor at my university! I also really like the introductory approach, so that you can even listen to some talks if you have not yet worked with the manuscripts a lot. ")</f>
        <v xml:space="preserve">I liked the fact that, while the workshop was online and you could ask questions after the presentation, the recordings of the talks were still published. This way I could rewatch the talks in case I had missed something and actually recommend them to some peers and even a tutor at my university! I also really like the introductory approach, so that you can even listen to some talks if you have not yet worked with the manuscripts a lot. </v>
      </c>
      <c r="AE17" s="4" t="str">
        <f ca="1">IFERROR(__xludf.DUMMYFUNCTION("""COMPUTED_VALUE"""),"The fact that it used Miscrosoft Teams, which I feel is used less than Zoom (however, this might be a very subjective impression). ")</f>
        <v xml:space="preserve">The fact that it used Miscrosoft Teams, which I feel is used less than Zoom (however, this might be a very subjective impression). </v>
      </c>
      <c r="AF17" s="4" t="str">
        <f ca="1">IFERROR(__xludf.DUMMYFUNCTION("""COMPUTED_VALUE"""),"Yes")</f>
        <v>Yes</v>
      </c>
      <c r="AG17" s="4" t="str">
        <f ca="1">IFERROR(__xludf.DUMMYFUNCTION("""COMPUTED_VALUE"""),"MMMONK website (https://www.mmmonk.be)")</f>
        <v>MMMONK website (https://www.mmmonk.be)</v>
      </c>
      <c r="AH17" s="4"/>
      <c r="AI17" s="4"/>
      <c r="AJ17" s="4"/>
      <c r="AK17" s="4"/>
      <c r="AL17" s="4"/>
      <c r="AM17" s="4"/>
      <c r="AN17" s="4"/>
      <c r="AO17" s="4"/>
    </row>
    <row r="18" spans="1:41" x14ac:dyDescent="0.25">
      <c r="A18" s="5">
        <f ca="1">IFERROR(__xludf.DUMMYFUNCTION("""COMPUTED_VALUE"""),45404.0598632176)</f>
        <v>45404.059863217597</v>
      </c>
      <c r="B18" s="4" t="str">
        <f ca="1">IFERROR(__xludf.DUMMYFUNCTION("""COMPUTED_VALUE"""),"University (faculty)")</f>
        <v>University (faculty)</v>
      </c>
      <c r="C18" s="4" t="str">
        <f ca="1">IFERROR(__xludf.DUMMYFUNCTION("""COMPUTED_VALUE"""),"Student")</f>
        <v>Student</v>
      </c>
      <c r="D18" s="4" t="str">
        <f ca="1">IFERROR(__xludf.DUMMYFUNCTION("""COMPUTED_VALUE"""),"United States")</f>
        <v>United States</v>
      </c>
      <c r="E18" s="4"/>
      <c r="F18" s="4" t="str">
        <f ca="1">IFERROR(__xludf.DUMMYFUNCTION("""COMPUTED_VALUE"""),"18-24")</f>
        <v>18-24</v>
      </c>
      <c r="G18" s="4" t="str">
        <f ca="1">IFERROR(__xludf.DUMMYFUNCTION("""COMPUTED_VALUE"""),"Columbia University, Historical Musicology, Prof. Susan Boynton, 2023-02-24")</f>
        <v>Columbia University, Historical Musicology, Prof. Susan Boynton, 2023-02-24</v>
      </c>
      <c r="H18" s="4" t="str">
        <f ca="1">IFERROR(__xludf.DUMMYFUNCTION("""COMPUTED_VALUE"""),"No, I had never heard the IIIF acronym or seen/noticed the IIIF logo before I registered for the Mmmonk IIIF Workshop.")</f>
        <v>No, I had never heard the IIIF acronym or seen/noticed the IIIF logo before I registered for the Mmmonk IIIF Workshop.</v>
      </c>
      <c r="I18" s="4" t="str">
        <f ca="1">IFERROR(__xludf.DUMMYFUNCTION("""COMPUTED_VALUE"""),"No")</f>
        <v>No</v>
      </c>
      <c r="J18" s="4"/>
      <c r="K18" s="4"/>
      <c r="L18" s="4"/>
      <c r="M18" s="4"/>
      <c r="N18" s="4" t="str">
        <f ca="1">IFERROR(__xludf.DUMMYFUNCTION("""COMPUTED_VALUE"""),"It has been some time but my understanding is that it as an open standard used across a number of international universities and libraries that allows for digitally displayed objects to be better displayed and used across platforms for exhibition, etc.")</f>
        <v>It has been some time but my understanding is that it as an open standard used across a number of international universities and libraries that allows for digitally displayed objects to be better displayed and used across platforms for exhibition, etc.</v>
      </c>
      <c r="O18" s="4" t="str">
        <f ca="1">IFERROR(__xludf.DUMMYFUNCTION("""COMPUTED_VALUE"""),"Yes")</f>
        <v>Yes</v>
      </c>
      <c r="P18" s="4" t="str">
        <f ca="1">IFERROR(__xludf.DUMMYFUNCTION("""COMPUTED_VALUE"""),"Create a virtual tour in a.o. Exhibit")</f>
        <v>Create a virtual tour in a.o. Exhibit</v>
      </c>
      <c r="Q18" s="4" t="str">
        <f ca="1">IFERROR(__xludf.DUMMYFUNCTION("""COMPUTED_VALUE"""),"Yes (or I have specific plans to use it in the future)")</f>
        <v>Yes (or I have specific plans to use it in the future)</v>
      </c>
      <c r="R18" s="4" t="str">
        <f ca="1">IFERROR(__xludf.DUMMYFUNCTION("""COMPUTED_VALUE"""),"Compare items in the Mirador Viewer, Create a virtual tour in a.o. Exhibit, Embed a viewer on a web page, Download an image using Universal Viewer")</f>
        <v>Compare items in the Mirador Viewer, Create a virtual tour in a.o. Exhibit, Embed a viewer on a web page, Download an image using Universal Viewer</v>
      </c>
      <c r="S18" s="4" t="str">
        <f ca="1">IFERROR(__xludf.DUMMYFUNCTION("""COMPUTED_VALUE"""),"Yes, as inspiration for a project with IIIF")</f>
        <v>Yes, as inspiration for a project with IIIF</v>
      </c>
      <c r="T18" s="4" t="str">
        <f ca="1">IFERROR(__xludf.DUMMYFUNCTION("""COMPUTED_VALUE"""),"Strongly agree")</f>
        <v>Strongly agree</v>
      </c>
      <c r="U18" s="4" t="str">
        <f ca="1">IFERROR(__xludf.DUMMYFUNCTION("""COMPUTED_VALUE"""),"Neutral")</f>
        <v>Neutral</v>
      </c>
      <c r="V18" s="4" t="str">
        <f ca="1">IFERROR(__xludf.DUMMYFUNCTION("""COMPUTED_VALUE"""),"Strongly agree")</f>
        <v>Strongly agree</v>
      </c>
      <c r="W18" s="4" t="str">
        <f ca="1">IFERROR(__xludf.DUMMYFUNCTION("""COMPUTED_VALUE"""),"Neutral")</f>
        <v>Neutral</v>
      </c>
      <c r="X18" s="4" t="str">
        <f ca="1">IFERROR(__xludf.DUMMYFUNCTION("""COMPUTED_VALUE"""),"Strongly disagree")</f>
        <v>Strongly disagree</v>
      </c>
      <c r="Y18" s="4"/>
      <c r="Z18" s="4" t="str">
        <f ca="1">IFERROR(__xludf.DUMMYFUNCTION("""COMPUTED_VALUE"""),"Yes")</f>
        <v>Yes</v>
      </c>
      <c r="AA18" s="4"/>
      <c r="AB18" s="4"/>
      <c r="AC18" s="4"/>
      <c r="AD18" s="4" t="str">
        <f ca="1">IFERROR(__xludf.DUMMYFUNCTION("""COMPUTED_VALUE"""),"Methodology was very useful, as I was taking a course with Susan Boynton that allowed IIIF to be put into practice. A tool like Mirador and its practical uses as Dr. Hauwaerts demonstrated in an easily communicated format allowed me to construct a very ea"&amp;"sily made and user-oriented Exhibit project that was not even the main subject of the presentation but which I took away from the presentation a great interest in.")</f>
        <v>Methodology was very useful, as I was taking a course with Susan Boynton that allowed IIIF to be put into practice. A tool like Mirador and its practical uses as Dr. Hauwaerts demonstrated in an easily communicated format allowed me to construct a very easily made and user-oriented Exhibit project that was not even the main subject of the presentation but which I took away from the presentation a great interest in.</v>
      </c>
      <c r="AE18" s="4" t="str">
        <f ca="1">IFERROR(__xludf.DUMMYFUNCTION("""COMPUTED_VALUE"""),"It has been a serious amount of time since, but considering how useful I found the information conveyed and up to ask Dr. Hauwaerts’s communication of the material, I cannot imagine there is anything I can add.")</f>
        <v>It has been a serious amount of time since, but considering how useful I found the information conveyed and up to ask Dr. Hauwaerts’s communication of the material, I cannot imagine there is anything I can add.</v>
      </c>
      <c r="AF18" s="4" t="str">
        <f ca="1">IFERROR(__xludf.DUMMYFUNCTION("""COMPUTED_VALUE"""),"Yes")</f>
        <v>Yes</v>
      </c>
      <c r="AG18" s="4" t="str">
        <f ca="1">IFERROR(__xludf.DUMMYFUNCTION("""COMPUTED_VALUE"""),"IIIF website (https://iiif.io/), IIIF consortium YouTube channel (https://www.youtube.com/@IIIF-Consortium), MMMONK website (https://www.mmmonk.be)")</f>
        <v>IIIF website (https://iiif.io/), IIIF consortium YouTube channel (https://www.youtube.com/@IIIF-Consortium), MMMONK website (https://www.mmmonk.be)</v>
      </c>
      <c r="AH18" s="4" t="str">
        <f ca="1">IFERROR(__xludf.DUMMYFUNCTION("""COMPUTED_VALUE"""),"The only issue I have come across in my nearly two years using the IIIF standard was that I had some serious trouble with the speed of loading my Exhibit presentation, but I do not know if that is a solvable issue.")</f>
        <v>The only issue I have come across in my nearly two years using the IIIF standard was that I had some serious trouble with the speed of loading my Exhibit presentation, but I do not know if that is a solvable issue.</v>
      </c>
      <c r="AI18" s="4" t="str">
        <f ca="1">IFERROR(__xludf.DUMMYFUNCTION("""COMPUTED_VALUE"""),"zdc2112@columbia.edu")</f>
        <v>zdc2112@columbia.edu</v>
      </c>
      <c r="AJ18" s="4"/>
      <c r="AK18" s="4"/>
      <c r="AL18" s="4"/>
      <c r="AM18" s="4"/>
      <c r="AN18" s="4"/>
      <c r="AO18" s="4"/>
    </row>
    <row r="19" spans="1:41" x14ac:dyDescent="0.25">
      <c r="A19" s="5">
        <f ca="1">IFERROR(__xludf.DUMMYFUNCTION("""COMPUTED_VALUE"""),45412.6014193171)</f>
        <v>45412.601419317099</v>
      </c>
      <c r="B19" s="4" t="str">
        <f ca="1">IFERROR(__xludf.DUMMYFUNCTION("""COMPUTED_VALUE"""),"Library (including university library)")</f>
        <v>Library (including university library)</v>
      </c>
      <c r="C19" s="4" t="str">
        <f ca="1">IFERROR(__xludf.DUMMYFUNCTION("""COMPUTED_VALUE"""),"Collection management")</f>
        <v>Collection management</v>
      </c>
      <c r="D19" s="4" t="str">
        <f ca="1">IFERROR(__xludf.DUMMYFUNCTION("""COMPUTED_VALUE"""),"Lithuania")</f>
        <v>Lithuania</v>
      </c>
      <c r="E19" s="4"/>
      <c r="F19" s="4" t="str">
        <f ca="1">IFERROR(__xludf.DUMMYFUNCTION("""COMPUTED_VALUE"""),"35-44")</f>
        <v>35-44</v>
      </c>
      <c r="G19" s="4" t="str">
        <f ca="1">IFERROR(__xludf.DUMMYFUNCTION("""COMPUTED_VALUE"""),"Mmmonk School 2023, 2023-12-01")</f>
        <v>Mmmonk School 2023, 2023-12-01</v>
      </c>
      <c r="H19" s="4" t="str">
        <f ca="1">IFERROR(__xludf.DUMMYFUNCTION("""COMPUTED_VALUE"""),"Yes")</f>
        <v>Yes</v>
      </c>
      <c r="I19" s="4" t="str">
        <f ca="1">IFERROR(__xludf.DUMMYFUNCTION("""COMPUTED_VALUE"""),"No")</f>
        <v>No</v>
      </c>
      <c r="J19" s="4"/>
      <c r="K19" s="4"/>
      <c r="L19" s="4"/>
      <c r="M19" s="4"/>
      <c r="N19" s="4" t="str">
        <f ca="1">IFERROR(__xludf.DUMMYFUNCTION("""COMPUTED_VALUE"""),"a very convenient way to present scanned image to the researcher")</f>
        <v>a very convenient way to present scanned image to the researcher</v>
      </c>
      <c r="O19" s="4" t="str">
        <f ca="1">IFERROR(__xludf.DUMMYFUNCTION("""COMPUTED_VALUE"""),"Yes")</f>
        <v>Yes</v>
      </c>
      <c r="P19" s="4" t="str">
        <f ca="1">IFERROR(__xludf.DUMMYFUNCTION("""COMPUTED_VALUE"""),"Compare items in the Mirador Viewer")</f>
        <v>Compare items in the Mirador Viewer</v>
      </c>
      <c r="Q19" s="4" t="str">
        <f ca="1">IFERROR(__xludf.DUMMYFUNCTION("""COMPUTED_VALUE"""),"Yes (or I have specific plans to use it in the future)")</f>
        <v>Yes (or I have specific plans to use it in the future)</v>
      </c>
      <c r="R19" s="4" t="str">
        <f ca="1">IFERROR(__xludf.DUMMYFUNCTION("""COMPUTED_VALUE"""),"Download an image using Universal Viewer")</f>
        <v>Download an image using Universal Viewer</v>
      </c>
      <c r="S19" s="4" t="str">
        <f ca="1">IFERROR(__xludf.DUMMYFUNCTION("""COMPUTED_VALUE"""),"Yes, I promoted IIIF to researchers, colleagues, students and/or external stakeholders")</f>
        <v>Yes, I promoted IIIF to researchers, colleagues, students and/or external stakeholders</v>
      </c>
      <c r="T19" s="4" t="str">
        <f ca="1">IFERROR(__xludf.DUMMYFUNCTION("""COMPUTED_VALUE"""),"Agree")</f>
        <v>Agree</v>
      </c>
      <c r="U19" s="4" t="str">
        <f ca="1">IFERROR(__xludf.DUMMYFUNCTION("""COMPUTED_VALUE"""),"Agree")</f>
        <v>Agree</v>
      </c>
      <c r="V19" s="4" t="str">
        <f ca="1">IFERROR(__xludf.DUMMYFUNCTION("""COMPUTED_VALUE"""),"Agree")</f>
        <v>Agree</v>
      </c>
      <c r="W19" s="4" t="str">
        <f ca="1">IFERROR(__xludf.DUMMYFUNCTION("""COMPUTED_VALUE"""),"Neutral")</f>
        <v>Neutral</v>
      </c>
      <c r="X19" s="4" t="str">
        <f ca="1">IFERROR(__xludf.DUMMYFUNCTION("""COMPUTED_VALUE"""),"Agree")</f>
        <v>Agree</v>
      </c>
      <c r="Y19" s="4"/>
      <c r="Z19" s="4" t="str">
        <f ca="1">IFERROR(__xludf.DUMMYFUNCTION("""COMPUTED_VALUE"""),"Yes")</f>
        <v>Yes</v>
      </c>
      <c r="AA19" s="4"/>
      <c r="AB19" s="4"/>
      <c r="AC19" s="4"/>
      <c r="AD19" s="4" t="str">
        <f ca="1">IFERROR(__xludf.DUMMYFUNCTION("""COMPUTED_VALUE"""),"yes, it was interesting and gave plenty of information; good presenters")</f>
        <v>yes, it was interesting and gave plenty of information; good presenters</v>
      </c>
      <c r="AE19" s="4" t="str">
        <f ca="1">IFERROR(__xludf.DUMMYFUNCTION("""COMPUTED_VALUE"""),"do not remember such thing")</f>
        <v>do not remember such thing</v>
      </c>
      <c r="AF19" s="4" t="str">
        <f ca="1">IFERROR(__xludf.DUMMYFUNCTION("""COMPUTED_VALUE"""),"No")</f>
        <v>No</v>
      </c>
      <c r="AG19" s="4"/>
      <c r="AH19" s="4" t="str">
        <f ca="1">IFERROR(__xludf.DUMMYFUNCTION("""COMPUTED_VALUE"""),"Good luck, You are doing great job")</f>
        <v>Good luck, You are doing great job</v>
      </c>
      <c r="AI19" s="4"/>
      <c r="AJ19" s="4"/>
      <c r="AK19" s="4"/>
      <c r="AL19" s="4"/>
      <c r="AM19" s="4"/>
      <c r="AN19" s="4"/>
      <c r="AO19" s="4"/>
    </row>
    <row r="20" spans="1:41" x14ac:dyDescent="0.25">
      <c r="A20" s="5">
        <f ca="1">IFERROR(__xludf.DUMMYFUNCTION("""COMPUTED_VALUE"""),45412.6027948725)</f>
        <v>45412.602794872597</v>
      </c>
      <c r="B20" s="4" t="str">
        <f ca="1">IFERROR(__xludf.DUMMYFUNCTION("""COMPUTED_VALUE"""),"University (faculty)")</f>
        <v>University (faculty)</v>
      </c>
      <c r="C20" s="4" t="str">
        <f ca="1">IFERROR(__xludf.DUMMYFUNCTION("""COMPUTED_VALUE"""),"Student")</f>
        <v>Student</v>
      </c>
      <c r="D20" s="4" t="str">
        <f ca="1">IFERROR(__xludf.DUMMYFUNCTION("""COMPUTED_VALUE"""),"United Kingdom")</f>
        <v>United Kingdom</v>
      </c>
      <c r="E20" s="4"/>
      <c r="F20" s="4" t="str">
        <f ca="1">IFERROR(__xludf.DUMMYFUNCTION("""COMPUTED_VALUE"""),"35-44")</f>
        <v>35-44</v>
      </c>
      <c r="G20" s="4" t="str">
        <f ca="1">IFERROR(__xludf.DUMMYFUNCTION("""COMPUTED_VALUE"""),"Mmmonk School 2022, 2022-12-16")</f>
        <v>Mmmonk School 2022, 2022-12-16</v>
      </c>
      <c r="H20" s="4" t="str">
        <f ca="1">IFERROR(__xludf.DUMMYFUNCTION("""COMPUTED_VALUE"""),"Yes")</f>
        <v>Yes</v>
      </c>
      <c r="I20" s="4" t="str">
        <f ca="1">IFERROR(__xludf.DUMMYFUNCTION("""COMPUTED_VALUE"""),"No")</f>
        <v>No</v>
      </c>
      <c r="J20" s="4"/>
      <c r="K20" s="4"/>
      <c r="L20" s="4"/>
      <c r="M20" s="4"/>
      <c r="N20" s="4" t="str">
        <f ca="1">IFERROR(__xludf.DUMMYFUNCTION("""COMPUTED_VALUE"""),"A framework which allows to view and work with images from different institutions on a single platform.")</f>
        <v>A framework which allows to view and work with images from different institutions on a single platform.</v>
      </c>
      <c r="O20" s="4" t="str">
        <f ca="1">IFERROR(__xludf.DUMMYFUNCTION("""COMPUTED_VALUE"""),"Yes")</f>
        <v>Yes</v>
      </c>
      <c r="P20" s="4" t="str">
        <f ca="1">IFERROR(__xludf.DUMMYFUNCTION("""COMPUTED_VALUE"""),"Compare items in the Mirador Viewer")</f>
        <v>Compare items in the Mirador Viewer</v>
      </c>
      <c r="Q20" s="4" t="str">
        <f ca="1">IFERROR(__xludf.DUMMYFUNCTION("""COMPUTED_VALUE"""),"No")</f>
        <v>No</v>
      </c>
      <c r="R20" s="4"/>
      <c r="S20" s="4"/>
      <c r="T20" s="4"/>
      <c r="U20" s="4"/>
      <c r="V20" s="4"/>
      <c r="W20" s="4"/>
      <c r="X20" s="4"/>
      <c r="Y20" s="4"/>
      <c r="Z20" s="4"/>
      <c r="AA20" s="4"/>
      <c r="AB20" s="4" t="str">
        <f ca="1">IFERROR(__xludf.DUMMYFUNCTION("""COMPUTED_VALUE"""),"Don't want to combine IIIF items and non-IIIF items")</f>
        <v>Don't want to combine IIIF items and non-IIIF items</v>
      </c>
      <c r="AC20" s="4" t="str">
        <f ca="1">IFERROR(__xludf.DUMMYFUNCTION("""COMPUTED_VALUE"""),"I would need it to be able to deal with other formats (say pdf images).")</f>
        <v>I would need it to be able to deal with other formats (say pdf images).</v>
      </c>
      <c r="AD20" s="4" t="str">
        <f ca="1">IFERROR(__xludf.DUMMYFUNCTION("""COMPUTED_VALUE"""),"The demonstrations and practical examples were great.")</f>
        <v>The demonstrations and practical examples were great.</v>
      </c>
      <c r="AE20" s="4" t="str">
        <f ca="1">IFERROR(__xludf.DUMMYFUNCTION("""COMPUTED_VALUE"""),"It was very good overall.")</f>
        <v>It was very good overall.</v>
      </c>
      <c r="AF20" s="4" t="str">
        <f ca="1">IFERROR(__xludf.DUMMYFUNCTION("""COMPUTED_VALUE"""),"Yes")</f>
        <v>Yes</v>
      </c>
      <c r="AG20" s="4" t="str">
        <f ca="1">IFERROR(__xludf.DUMMYFUNCTION("""COMPUTED_VALUE"""),"MMMONK website (https://www.mmmonk.be)")</f>
        <v>MMMONK website (https://www.mmmonk.be)</v>
      </c>
      <c r="AH20" s="4" t="str">
        <f ca="1">IFERROR(__xludf.DUMMYFUNCTION("""COMPUTED_VALUE"""),"I found the MMMONK website very user-friendly for people with no technical expertise.")</f>
        <v>I found the MMMONK website very user-friendly for people with no technical expertise.</v>
      </c>
      <c r="AI20" s="4" t="str">
        <f ca="1">IFERROR(__xludf.DUMMYFUNCTION("""COMPUTED_VALUE"""),"yes")</f>
        <v>yes</v>
      </c>
      <c r="AJ20" s="4"/>
      <c r="AK20" s="4"/>
      <c r="AL20" s="4"/>
      <c r="AM20" s="4"/>
      <c r="AN20" s="4"/>
      <c r="AO20" s="4"/>
    </row>
    <row r="21" spans="1:41" x14ac:dyDescent="0.25">
      <c r="A21" s="5">
        <f ca="1">IFERROR(__xludf.DUMMYFUNCTION("""COMPUTED_VALUE"""),45412.6052861458)</f>
        <v>45412.605286145801</v>
      </c>
      <c r="B21" s="4" t="str">
        <f ca="1">IFERROR(__xludf.DUMMYFUNCTION("""COMPUTED_VALUE"""),"University (student)")</f>
        <v>University (student)</v>
      </c>
      <c r="C21" s="4" t="str">
        <f ca="1">IFERROR(__xludf.DUMMYFUNCTION("""COMPUTED_VALUE"""),"Education and outreach (in a cultural heritage institution)")</f>
        <v>Education and outreach (in a cultural heritage institution)</v>
      </c>
      <c r="D21" s="4" t="str">
        <f ca="1">IFERROR(__xludf.DUMMYFUNCTION("""COMPUTED_VALUE"""),"Netherlands")</f>
        <v>Netherlands</v>
      </c>
      <c r="E21" s="4"/>
      <c r="F21" s="4" t="str">
        <f ca="1">IFERROR(__xludf.DUMMYFUNCTION("""COMPUTED_VALUE"""),"25-34")</f>
        <v>25-34</v>
      </c>
      <c r="G21" s="4" t="str">
        <f ca="1">IFERROR(__xludf.DUMMYFUNCTION("""COMPUTED_VALUE"""),"Mmmonk School 2022, 2022-12-16")</f>
        <v>Mmmonk School 2022, 2022-12-16</v>
      </c>
      <c r="H21" s="4" t="str">
        <f ca="1">IFERROR(__xludf.DUMMYFUNCTION("""COMPUTED_VALUE"""),"Yes")</f>
        <v>Yes</v>
      </c>
      <c r="I21" s="4" t="str">
        <f ca="1">IFERROR(__xludf.DUMMYFUNCTION("""COMPUTED_VALUE"""),"No")</f>
        <v>No</v>
      </c>
      <c r="J21" s="4"/>
      <c r="K21" s="4"/>
      <c r="L21" s="4"/>
      <c r="M21" s="4"/>
      <c r="N21" s="4" t="str">
        <f ca="1">IFERROR(__xludf.DUMMYFUNCTION("""COMPUTED_VALUE"""),"A shared network that allows cultural institutions to improve the quality of their digitized images and to provide more context on those images for (non-)experts visiting the institution's website.")</f>
        <v>A shared network that allows cultural institutions to improve the quality of their digitized images and to provide more context on those images for (non-)experts visiting the institution's website.</v>
      </c>
      <c r="O21" s="4" t="str">
        <f ca="1">IFERROR(__xludf.DUMMYFUNCTION("""COMPUTED_VALUE"""),"Yes")</f>
        <v>Yes</v>
      </c>
      <c r="P21" s="4" t="str">
        <f ca="1">IFERROR(__xludf.DUMMYFUNCTION("""COMPUTED_VALUE"""),"Embed a viewer on a web page")</f>
        <v>Embed a viewer on a web page</v>
      </c>
      <c r="Q21" s="4" t="str">
        <f ca="1">IFERROR(__xludf.DUMMYFUNCTION("""COMPUTED_VALUE"""),"Yes (or I have specific plans to use it in the future)")</f>
        <v>Yes (or I have specific plans to use it in the future)</v>
      </c>
      <c r="R21" s="4" t="str">
        <f ca="1">IFERROR(__xludf.DUMMYFUNCTION("""COMPUTED_VALUE"""),"Compare items in the Mirador Viewer, Download an image using Universal Viewer")</f>
        <v>Compare items in the Mirador Viewer, Download an image using Universal Viewer</v>
      </c>
      <c r="S21" s="4" t="str">
        <f ca="1">IFERROR(__xludf.DUMMYFUNCTION("""COMPUTED_VALUE"""),"I was able to use some of the information shared by Dr. Reilly in my MA thesis.")</f>
        <v>I was able to use some of the information shared by Dr. Reilly in my MA thesis.</v>
      </c>
      <c r="T21" s="4" t="str">
        <f ca="1">IFERROR(__xludf.DUMMYFUNCTION("""COMPUTED_VALUE"""),"Agree")</f>
        <v>Agree</v>
      </c>
      <c r="U21" s="4" t="str">
        <f ca="1">IFERROR(__xludf.DUMMYFUNCTION("""COMPUTED_VALUE"""),"Agree")</f>
        <v>Agree</v>
      </c>
      <c r="V21" s="4" t="str">
        <f ca="1">IFERROR(__xludf.DUMMYFUNCTION("""COMPUTED_VALUE"""),"Agree")</f>
        <v>Agree</v>
      </c>
      <c r="W21" s="4" t="str">
        <f ca="1">IFERROR(__xludf.DUMMYFUNCTION("""COMPUTED_VALUE"""),"No opinion")</f>
        <v>No opinion</v>
      </c>
      <c r="X21" s="4" t="str">
        <f ca="1">IFERROR(__xludf.DUMMYFUNCTION("""COMPUTED_VALUE"""),"Agree")</f>
        <v>Agree</v>
      </c>
      <c r="Y21" s="4"/>
      <c r="Z21" s="4" t="str">
        <f ca="1">IFERROR(__xludf.DUMMYFUNCTION("""COMPUTED_VALUE"""),"Yes")</f>
        <v>Yes</v>
      </c>
      <c r="AA21" s="4"/>
      <c r="AB21" s="4"/>
      <c r="AC21" s="4"/>
      <c r="AD21" s="4" t="str">
        <f ca="1">IFERROR(__xludf.DUMMYFUNCTION("""COMPUTED_VALUE"""),"I liked that the speakers were excited to share their knowledge and that there was enough time for questions.")</f>
        <v>I liked that the speakers were excited to share their knowledge and that there was enough time for questions.</v>
      </c>
      <c r="AE21" s="4" t="str">
        <f ca="1">IFERROR(__xludf.DUMMYFUNCTION("""COMPUTED_VALUE"""),"I can't think of anything")</f>
        <v>I can't think of anything</v>
      </c>
      <c r="AF21" s="4" t="str">
        <f ca="1">IFERROR(__xludf.DUMMYFUNCTION("""COMPUTED_VALUE"""),"Yes")</f>
        <v>Yes</v>
      </c>
      <c r="AG21" s="4" t="str">
        <f ca="1">IFERROR(__xludf.DUMMYFUNCTION("""COMPUTED_VALUE"""),"MMMONK website (https://www.mmmonk.be)")</f>
        <v>MMMONK website (https://www.mmmonk.be)</v>
      </c>
      <c r="AH21" s="4" t="str">
        <f ca="1">IFERROR(__xludf.DUMMYFUNCTION("""COMPUTED_VALUE"""),"I would be interested in joining the IIIF slack or the collegagroep if possible.")</f>
        <v>I would be interested in joining the IIIF slack or the collegagroep if possible.</v>
      </c>
      <c r="AI21" s="4" t="str">
        <f ca="1">IFERROR(__xludf.DUMMYFUNCTION("""COMPUTED_VALUE"""),"matteachadwick@gmail.com")</f>
        <v>matteachadwick@gmail.com</v>
      </c>
      <c r="AJ21" s="4"/>
      <c r="AK21" s="4"/>
      <c r="AL21" s="4"/>
      <c r="AM21" s="4"/>
      <c r="AN21" s="4"/>
      <c r="AO21" s="4"/>
    </row>
    <row r="22" spans="1:41" x14ac:dyDescent="0.25">
      <c r="A22" s="5">
        <f ca="1">IFERROR(__xludf.DUMMYFUNCTION("""COMPUTED_VALUE"""),45412.6181574421)</f>
        <v>45412.618157442099</v>
      </c>
      <c r="B22" s="4" t="str">
        <f ca="1">IFERROR(__xludf.DUMMYFUNCTION("""COMPUTED_VALUE"""),"Self-employed")</f>
        <v>Self-employed</v>
      </c>
      <c r="C22" s="4" t="str">
        <f ca="1">IFERROR(__xludf.DUMMYFUNCTION("""COMPUTED_VALUE"""),"Teaching")</f>
        <v>Teaching</v>
      </c>
      <c r="D22" s="4" t="str">
        <f ca="1">IFERROR(__xludf.DUMMYFUNCTION("""COMPUTED_VALUE"""),"Belgium")</f>
        <v>Belgium</v>
      </c>
      <c r="E22" s="4"/>
      <c r="F22" s="4" t="str">
        <f ca="1">IFERROR(__xludf.DUMMYFUNCTION("""COMPUTED_VALUE"""),"65-74")</f>
        <v>65-74</v>
      </c>
      <c r="G22" s="4" t="str">
        <f ca="1">IFERROR(__xludf.DUMMYFUNCTION("""COMPUTED_VALUE"""),"Mmmonk School 2022 en 2023")</f>
        <v>Mmmonk School 2022 en 2023</v>
      </c>
      <c r="H22" s="4" t="str">
        <f ca="1">IFERROR(__xludf.DUMMYFUNCTION("""COMPUTED_VALUE"""),"Yes")</f>
        <v>Yes</v>
      </c>
      <c r="I22" s="4" t="str">
        <f ca="1">IFERROR(__xludf.DUMMYFUNCTION("""COMPUTED_VALUE"""),"No")</f>
        <v>No</v>
      </c>
      <c r="J22" s="4"/>
      <c r="K22" s="4"/>
      <c r="L22" s="4"/>
      <c r="M22" s="4"/>
      <c r="N22" s="4" t="str">
        <f ca="1">IFERROR(__xludf.DUMMYFUNCTION("""COMPUTED_VALUE"""),"IIIF is a digital platform with clear accessibility and the ability to share digital images from books and manuscripts and other sources.")</f>
        <v>IIIF is a digital platform with clear accessibility and the ability to share digital images from books and manuscripts and other sources.</v>
      </c>
      <c r="O22" s="4" t="str">
        <f ca="1">IFERROR(__xludf.DUMMYFUNCTION("""COMPUTED_VALUE"""),"Yes")</f>
        <v>Yes</v>
      </c>
      <c r="P22" s="4" t="str">
        <f ca="1">IFERROR(__xludf.DUMMYFUNCTION("""COMPUTED_VALUE"""),"Compare items in the Mirador Viewer")</f>
        <v>Compare items in the Mirador Viewer</v>
      </c>
      <c r="Q22" s="4" t="str">
        <f ca="1">IFERROR(__xludf.DUMMYFUNCTION("""COMPUTED_VALUE"""),"Yes (or I have specific plans to use it in the future)")</f>
        <v>Yes (or I have specific plans to use it in the future)</v>
      </c>
      <c r="R22" s="4" t="str">
        <f ca="1">IFERROR(__xludf.DUMMYFUNCTION("""COMPUTED_VALUE"""),"Share detail on image with Universal Viewer")</f>
        <v>Share detail on image with Universal Viewer</v>
      </c>
      <c r="S22" s="4" t="str">
        <f ca="1">IFERROR(__xludf.DUMMYFUNCTION("""COMPUTED_VALUE"""),"Yes, as inspiration for a project with IIIF")</f>
        <v>Yes, as inspiration for a project with IIIF</v>
      </c>
      <c r="T22" s="4" t="str">
        <f ca="1">IFERROR(__xludf.DUMMYFUNCTION("""COMPUTED_VALUE"""),"Agree")</f>
        <v>Agree</v>
      </c>
      <c r="U22" s="4" t="str">
        <f ca="1">IFERROR(__xludf.DUMMYFUNCTION("""COMPUTED_VALUE"""),"Neutral")</f>
        <v>Neutral</v>
      </c>
      <c r="V22" s="4" t="str">
        <f ca="1">IFERROR(__xludf.DUMMYFUNCTION("""COMPUTED_VALUE"""),"Agree")</f>
        <v>Agree</v>
      </c>
      <c r="W22" s="4" t="str">
        <f ca="1">IFERROR(__xludf.DUMMYFUNCTION("""COMPUTED_VALUE"""),"Neutral")</f>
        <v>Neutral</v>
      </c>
      <c r="X22" s="4" t="str">
        <f ca="1">IFERROR(__xludf.DUMMYFUNCTION("""COMPUTED_VALUE"""),"Agree")</f>
        <v>Agree</v>
      </c>
      <c r="Y22" s="4"/>
      <c r="Z22" s="4" t="str">
        <f ca="1">IFERROR(__xludf.DUMMYFUNCTION("""COMPUTED_VALUE"""),"It is not an everyday act for me so at first I was searching.")</f>
        <v>It is not an everyday act for me so at first I was searching.</v>
      </c>
      <c r="AA22" s="4"/>
      <c r="AB22" s="4"/>
      <c r="AC22" s="4"/>
      <c r="AD22" s="4" t="str">
        <f ca="1">IFERROR(__xludf.DUMMYFUNCTION("""COMPUTED_VALUE"""),"The entire presentation is accurate: the blending of theory and practice, demonstration and communication.")</f>
        <v>The entire presentation is accurate: the blending of theory and practice, demonstration and communication.</v>
      </c>
      <c r="AE22" s="4" t="str">
        <f ca="1">IFERROR(__xludf.DUMMYFUNCTION("""COMPUTED_VALUE"""),"As a non-daily user of IIIF individual viewing during the workshop was less convenient due to the short time frame.")</f>
        <v>As a non-daily user of IIIF individual viewing during the workshop was less convenient due to the short time frame.</v>
      </c>
      <c r="AF22" s="4" t="str">
        <f ca="1">IFERROR(__xludf.DUMMYFUNCTION("""COMPUTED_VALUE"""),"Yes")</f>
        <v>Yes</v>
      </c>
      <c r="AG22" s="4" t="str">
        <f ca="1">IFERROR(__xludf.DUMMYFUNCTION("""COMPUTED_VALUE"""),"IIIF website (https://iiif.io/), MMMONK website (https://www.mmmonk.be), website of meemoo (https://meemoo.be)")</f>
        <v>IIIF website (https://iiif.io/), MMMONK website (https://www.mmmonk.be), website of meemoo (https://meemoo.be)</v>
      </c>
      <c r="AH22" s="4"/>
      <c r="AI22" s="4" t="str">
        <f ca="1">IFERROR(__xludf.DUMMYFUNCTION("""COMPUTED_VALUE"""),"carry.wouters@telenet.be")</f>
        <v>carry.wouters@telenet.be</v>
      </c>
      <c r="AJ22" s="4"/>
      <c r="AK22" s="4"/>
      <c r="AL22" s="4"/>
      <c r="AM22" s="4"/>
      <c r="AN22" s="4"/>
      <c r="AO22" s="4"/>
    </row>
    <row r="23" spans="1:41" x14ac:dyDescent="0.25">
      <c r="A23" s="5">
        <f ca="1">IFERROR(__xludf.DUMMYFUNCTION("""COMPUTED_VALUE"""),45412.8342802083)</f>
        <v>45412.834280208299</v>
      </c>
      <c r="B23" s="4" t="str">
        <f ca="1">IFERROR(__xludf.DUMMYFUNCTION("""COMPUTED_VALUE"""),"University (faculty)")</f>
        <v>University (faculty)</v>
      </c>
      <c r="C23" s="4" t="str">
        <f ca="1">IFERROR(__xludf.DUMMYFUNCTION("""COMPUTED_VALUE"""),"Teaching")</f>
        <v>Teaching</v>
      </c>
      <c r="D23" s="4" t="str">
        <f ca="1">IFERROR(__xludf.DUMMYFUNCTION("""COMPUTED_VALUE"""),"Russia")</f>
        <v>Russia</v>
      </c>
      <c r="E23" s="4"/>
      <c r="F23" s="4" t="str">
        <f ca="1">IFERROR(__xludf.DUMMYFUNCTION("""COMPUTED_VALUE"""),"25-34")</f>
        <v>25-34</v>
      </c>
      <c r="G23" s="4" t="str">
        <f ca="1">IFERROR(__xludf.DUMMYFUNCTION("""COMPUTED_VALUE"""),"Mmmonk School 2023, 2023-12-01")</f>
        <v>Mmmonk School 2023, 2023-12-01</v>
      </c>
      <c r="H23" s="4" t="str">
        <f ca="1">IFERROR(__xludf.DUMMYFUNCTION("""COMPUTED_VALUE"""),"No, I had never heard the IIIF acronym or seen/noticed the IIIF logo before I registered for the Mmmonk IIIF Workshop.")</f>
        <v>No, I had never heard the IIIF acronym or seen/noticed the IIIF logo before I registered for the Mmmonk IIIF Workshop.</v>
      </c>
      <c r="I23" s="4" t="str">
        <f ca="1">IFERROR(__xludf.DUMMYFUNCTION("""COMPUTED_VALUE"""),"No")</f>
        <v>No</v>
      </c>
      <c r="J23" s="4"/>
      <c r="K23" s="4"/>
      <c r="L23" s="4"/>
      <c r="M23" s="4"/>
      <c r="N23" s="4" t="str">
        <f ca="1">IFERROR(__xludf.DUMMYFUNCTION("""COMPUTED_VALUE"""),"Actually, I cannot judge it properly, because I am not specialized in the field of Medieval Studies. But two sessions devoted to the description and interpretation of British and Latin medieval manuscripts were inspiring. A lot of information was given in"&amp;" a very interestingly.
An opportunity of asking question is a very good option, as well.")</f>
        <v>Actually, I cannot judge it properly, because I am not specialized in the field of Medieval Studies. But two sessions devoted to the description and interpretation of British and Latin medieval manuscripts were inspiring. A lot of information was given in a very interestingly.
An opportunity of asking question is a very good option, as well.</v>
      </c>
      <c r="O23" s="4" t="str">
        <f ca="1">IFERROR(__xludf.DUMMYFUNCTION("""COMPUTED_VALUE"""),"Yes")</f>
        <v>Yes</v>
      </c>
      <c r="P23" s="4" t="str">
        <f ca="1">IFERROR(__xludf.DUMMYFUNCTION("""COMPUTED_VALUE"""),"Finding IIIF manifests using DetektIIIF")</f>
        <v>Finding IIIF manifests using DetektIIIF</v>
      </c>
      <c r="Q23" s="4" t="str">
        <f ca="1">IFERROR(__xludf.DUMMYFUNCTION("""COMPUTED_VALUE"""),"Yes (or I have specific plans to use it in the future)")</f>
        <v>Yes (or I have specific plans to use it in the future)</v>
      </c>
      <c r="R23" s="4" t="str">
        <f ca="1">IFERROR(__xludf.DUMMYFUNCTION("""COMPUTED_VALUE"""),"Share detail on image with Universal Viewer")</f>
        <v>Share detail on image with Universal Viewer</v>
      </c>
      <c r="S23" s="4" t="str">
        <f ca="1">IFERROR(__xludf.DUMMYFUNCTION("""COMPUTED_VALUE"""),"Yes, as inspiration for a project with IIIF")</f>
        <v>Yes, as inspiration for a project with IIIF</v>
      </c>
      <c r="T23" s="4" t="str">
        <f ca="1">IFERROR(__xludf.DUMMYFUNCTION("""COMPUTED_VALUE"""),"Neutral")</f>
        <v>Neutral</v>
      </c>
      <c r="U23" s="4" t="str">
        <f ca="1">IFERROR(__xludf.DUMMYFUNCTION("""COMPUTED_VALUE"""),"Strongly agree")</f>
        <v>Strongly agree</v>
      </c>
      <c r="V23" s="4" t="str">
        <f ca="1">IFERROR(__xludf.DUMMYFUNCTION("""COMPUTED_VALUE"""),"Strongly agree")</f>
        <v>Strongly agree</v>
      </c>
      <c r="W23" s="4" t="str">
        <f ca="1">IFERROR(__xludf.DUMMYFUNCTION("""COMPUTED_VALUE"""),"Neutral")</f>
        <v>Neutral</v>
      </c>
      <c r="X23" s="4" t="str">
        <f ca="1">IFERROR(__xludf.DUMMYFUNCTION("""COMPUTED_VALUE"""),"Agree")</f>
        <v>Agree</v>
      </c>
      <c r="Y23" s="4" t="str">
        <f ca="1">IFERROR(__xludf.DUMMYFUNCTION("""COMPUTED_VALUE"""),"No.")</f>
        <v>No.</v>
      </c>
      <c r="Z23" s="4" t="str">
        <f ca="1">IFERROR(__xludf.DUMMYFUNCTION("""COMPUTED_VALUE"""),"Yes")</f>
        <v>Yes</v>
      </c>
      <c r="AA23" s="4" t="str">
        <f ca="1">IFERROR(__xludf.DUMMYFUNCTION("""COMPUTED_VALUE"""),"Not yet.")</f>
        <v>Not yet.</v>
      </c>
      <c r="AB23" s="4"/>
      <c r="AC23" s="4"/>
      <c r="AD23" s="4" t="str">
        <f ca="1">IFERROR(__xludf.DUMMYFUNCTION("""COMPUTED_VALUE"""),"It is quite difficult to reply. Maybe, an opportunity for communication is the main advantage of the school.")</f>
        <v>It is quite difficult to reply. Maybe, an opportunity for communication is the main advantage of the school.</v>
      </c>
      <c r="AE23" s="4" t="str">
        <f ca="1">IFERROR(__xludf.DUMMYFUNCTION("""COMPUTED_VALUE"""),"I cannot answer the question now.")</f>
        <v>I cannot answer the question now.</v>
      </c>
      <c r="AF23" s="4" t="str">
        <f ca="1">IFERROR(__xludf.DUMMYFUNCTION("""COMPUTED_VALUE"""),"No")</f>
        <v>No</v>
      </c>
      <c r="AG23" s="4"/>
      <c r="AH23" s="4" t="str">
        <f ca="1">IFERROR(__xludf.DUMMYFUNCTION("""COMPUTED_VALUE"""),"I would like to thank You for an activity.")</f>
        <v>I would like to thank You for an activity.</v>
      </c>
      <c r="AI23" s="4" t="str">
        <f ca="1">IFERROR(__xludf.DUMMYFUNCTION("""COMPUTED_VALUE"""),"olegzhukov1990@mail.ru")</f>
        <v>olegzhukov1990@mail.ru</v>
      </c>
      <c r="AJ23" s="4"/>
      <c r="AK23" s="4"/>
      <c r="AL23" s="4"/>
      <c r="AM23" s="4"/>
      <c r="AN23" s="4"/>
      <c r="AO23" s="4"/>
    </row>
    <row r="24" spans="1:41" x14ac:dyDescent="0.25">
      <c r="A24" s="5">
        <f ca="1">IFERROR(__xludf.DUMMYFUNCTION("""COMPUTED_VALUE"""),45413.9429381944)</f>
        <v>45413.942938194399</v>
      </c>
      <c r="B24" s="4" t="str">
        <f ca="1">IFERROR(__xludf.DUMMYFUNCTION("""COMPUTED_VALUE"""),"University (faculty)")</f>
        <v>University (faculty)</v>
      </c>
      <c r="C24" s="4" t="str">
        <f ca="1">IFERROR(__xludf.DUMMYFUNCTION("""COMPUTED_VALUE"""),"Student")</f>
        <v>Student</v>
      </c>
      <c r="D24" s="4" t="str">
        <f ca="1">IFERROR(__xludf.DUMMYFUNCTION("""COMPUTED_VALUE"""),"Belgium")</f>
        <v>Belgium</v>
      </c>
      <c r="E24" s="4"/>
      <c r="F24" s="4" t="str">
        <f ca="1">IFERROR(__xludf.DUMMYFUNCTION("""COMPUTED_VALUE"""),"18-24")</f>
        <v>18-24</v>
      </c>
      <c r="G24" s="4" t="str">
        <f ca="1">IFERROR(__xludf.DUMMYFUNCTION("""COMPUTED_VALUE"""),"Ghent University, Latin Literature, Prof. Wim Verbaal, 2022-12-06")</f>
        <v>Ghent University, Latin Literature, Prof. Wim Verbaal, 2022-12-06</v>
      </c>
      <c r="H24" s="4" t="str">
        <f ca="1">IFERROR(__xludf.DUMMYFUNCTION("""COMPUTED_VALUE"""),"No, I had never heard the IIIF acronym or seen/noticed the IIIF logo before I registered for the Mmmonk IIIF Workshop.")</f>
        <v>No, I had never heard the IIIF acronym or seen/noticed the IIIF logo before I registered for the Mmmonk IIIF Workshop.</v>
      </c>
      <c r="I24" s="4" t="str">
        <f ca="1">IFERROR(__xludf.DUMMYFUNCTION("""COMPUTED_VALUE"""),"No")</f>
        <v>No</v>
      </c>
      <c r="J24" s="4"/>
      <c r="K24" s="4"/>
      <c r="L24" s="4"/>
      <c r="M24" s="4"/>
      <c r="N24" s="4" t="str">
        <f ca="1">IFERROR(__xludf.DUMMYFUNCTION("""COMPUTED_VALUE"""),"Triple-i F is a digital tool which provides a unified viewer (and code) for documents/manuscript which have been encoded within different formats by different libraries")</f>
        <v>Triple-i F is a digital tool which provides a unified viewer (and code) for documents/manuscript which have been encoded within different formats by different libraries</v>
      </c>
      <c r="O24" s="4" t="str">
        <f ca="1">IFERROR(__xludf.DUMMYFUNCTION("""COMPUTED_VALUE"""),"Yes")</f>
        <v>Yes</v>
      </c>
      <c r="P24" s="4" t="str">
        <f ca="1">IFERROR(__xludf.DUMMYFUNCTION("""COMPUTED_VALUE"""),"Embed a viewer on a web page")</f>
        <v>Embed a viewer on a web page</v>
      </c>
      <c r="Q24" s="4" t="str">
        <f ca="1">IFERROR(__xludf.DUMMYFUNCTION("""COMPUTED_VALUE"""),"Yes (or I have specific plans to use it in the future)")</f>
        <v>Yes (or I have specific plans to use it in the future)</v>
      </c>
      <c r="R24" s="4" t="str">
        <f ca="1">IFERROR(__xludf.DUMMYFUNCTION("""COMPUTED_VALUE"""),"Share detail on image with Universal Viewer, Embed a viewer on a web page, Download an image using Universal Viewer")</f>
        <v>Share detail on image with Universal Viewer, Embed a viewer on a web page, Download an image using Universal Viewer</v>
      </c>
      <c r="S24" s="4" t="str">
        <f ca="1">IFERROR(__xludf.DUMMYFUNCTION("""COMPUTED_VALUE"""),"No")</f>
        <v>No</v>
      </c>
      <c r="T24" s="4" t="str">
        <f ca="1">IFERROR(__xludf.DUMMYFUNCTION("""COMPUTED_VALUE"""),"Disagree")</f>
        <v>Disagree</v>
      </c>
      <c r="U24" s="4" t="str">
        <f ca="1">IFERROR(__xludf.DUMMYFUNCTION("""COMPUTED_VALUE"""),"Strongly agree")</f>
        <v>Strongly agree</v>
      </c>
      <c r="V24" s="4" t="str">
        <f ca="1">IFERROR(__xludf.DUMMYFUNCTION("""COMPUTED_VALUE"""),"No opinion")</f>
        <v>No opinion</v>
      </c>
      <c r="W24" s="4" t="str">
        <f ca="1">IFERROR(__xludf.DUMMYFUNCTION("""COMPUTED_VALUE"""),"Agree")</f>
        <v>Agree</v>
      </c>
      <c r="X24" s="4" t="str">
        <f ca="1">IFERROR(__xludf.DUMMYFUNCTION("""COMPUTED_VALUE"""),"No opinion")</f>
        <v>No opinion</v>
      </c>
      <c r="Y24" s="4"/>
      <c r="Z24" s="4" t="str">
        <f ca="1">IFERROR(__xludf.DUMMYFUNCTION("""COMPUTED_VALUE"""),"Yes")</f>
        <v>Yes</v>
      </c>
      <c r="AA24" s="4"/>
      <c r="AB24" s="4"/>
      <c r="AC24" s="4"/>
      <c r="AD24" s="4" t="str">
        <f ca="1">IFERROR(__xludf.DUMMYFUNCTION("""COMPUTED_VALUE"""),"The practical exercises and how theory can be put within practice, and how it can be done in a new and innovative way. Not just looking and downloading pictures taken from manuscripts, but how one is able to interact with them through the digital tools at"&amp;" hand (of which I had no idea)")</f>
        <v>The practical exercises and how theory can be put within practice, and how it can be done in a new and innovative way. Not just looking and downloading pictures taken from manuscripts, but how one is able to interact with them through the digital tools at hand (of which I had no idea)</v>
      </c>
      <c r="AE24" s="4" t="str">
        <f ca="1">IFERROR(__xludf.DUMMYFUNCTION("""COMPUTED_VALUE"""),"I cannot think of one!")</f>
        <v>I cannot think of one!</v>
      </c>
      <c r="AF24" s="4" t="str">
        <f ca="1">IFERROR(__xludf.DUMMYFUNCTION("""COMPUTED_VALUE"""),"No")</f>
        <v>No</v>
      </c>
      <c r="AG24" s="4"/>
      <c r="AH24" s="4"/>
      <c r="AI24" s="4"/>
      <c r="AJ24" s="4"/>
      <c r="AK24" s="4"/>
      <c r="AL24" s="4"/>
      <c r="AM24" s="4"/>
      <c r="AN24" s="4"/>
      <c r="AO24" s="4"/>
    </row>
    <row r="25" spans="1:41" x14ac:dyDescent="0.25">
      <c r="A25" s="5">
        <f ca="1">IFERROR(__xludf.DUMMYFUNCTION("""COMPUTED_VALUE"""),45416.0723171411)</f>
        <v>45416.072317141101</v>
      </c>
      <c r="B25" s="4" t="str">
        <f ca="1">IFERROR(__xludf.DUMMYFUNCTION("""COMPUTED_VALUE"""),"Archives")</f>
        <v>Archives</v>
      </c>
      <c r="C25" s="4" t="str">
        <f ca="1">IFERROR(__xludf.DUMMYFUNCTION("""COMPUTED_VALUE"""),"Research")</f>
        <v>Research</v>
      </c>
      <c r="D25" s="4" t="str">
        <f ca="1">IFERROR(__xludf.DUMMYFUNCTION("""COMPUTED_VALUE"""),"Italy")</f>
        <v>Italy</v>
      </c>
      <c r="E25" s="4"/>
      <c r="F25" s="4" t="str">
        <f ca="1">IFERROR(__xludf.DUMMYFUNCTION("""COMPUTED_VALUE"""),"25-34")</f>
        <v>25-34</v>
      </c>
      <c r="G25" s="4" t="str">
        <f ca="1">IFERROR(__xludf.DUMMYFUNCTION("""COMPUTED_VALUE"""),"Mmmonk School 2023, 2023-12-01")</f>
        <v>Mmmonk School 2023, 2023-12-01</v>
      </c>
      <c r="H25" s="4" t="str">
        <f ca="1">IFERROR(__xludf.DUMMYFUNCTION("""COMPUTED_VALUE"""),"Yes")</f>
        <v>Yes</v>
      </c>
      <c r="I25" s="4" t="str">
        <f ca="1">IFERROR(__xludf.DUMMYFUNCTION("""COMPUTED_VALUE"""),"No")</f>
        <v>No</v>
      </c>
      <c r="J25" s="4"/>
      <c r="K25" s="4"/>
      <c r="L25" s="4"/>
      <c r="M25" s="4"/>
      <c r="N25" s="4" t="str">
        <f ca="1">IFERROR(__xludf.DUMMYFUNCTION("""COMPUTED_VALUE"""),"A tool to show and compare images.")</f>
        <v>A tool to show and compare images.</v>
      </c>
      <c r="O25" s="4" t="str">
        <f ca="1">IFERROR(__xludf.DUMMYFUNCTION("""COMPUTED_VALUE"""),"Yes")</f>
        <v>Yes</v>
      </c>
      <c r="P25" s="4" t="str">
        <f ca="1">IFERROR(__xludf.DUMMYFUNCTION("""COMPUTED_VALUE"""),"Compare items in the Mirador Viewer")</f>
        <v>Compare items in the Mirador Viewer</v>
      </c>
      <c r="Q25" s="4" t="str">
        <f ca="1">IFERROR(__xludf.DUMMYFUNCTION("""COMPUTED_VALUE"""),"No")</f>
        <v>No</v>
      </c>
      <c r="R25" s="4"/>
      <c r="S25" s="4"/>
      <c r="T25" s="4"/>
      <c r="U25" s="4"/>
      <c r="V25" s="4"/>
      <c r="W25" s="4"/>
      <c r="X25" s="4"/>
      <c r="Y25" s="4"/>
      <c r="Z25" s="4"/>
      <c r="AA25" s="4"/>
      <c r="AB25" s="4" t="str">
        <f ca="1">IFERROR(__xludf.DUMMYFUNCTION("""COMPUTED_VALUE"""),"Haven't had the time or occasion yet")</f>
        <v>Haven't had the time or occasion yet</v>
      </c>
      <c r="AC25" s="4" t="str">
        <f ca="1">IFERROR(__xludf.DUMMYFUNCTION("""COMPUTED_VALUE"""),"A project that uses images.")</f>
        <v>A project that uses images.</v>
      </c>
      <c r="AD25" s="4" t="str">
        <f ca="1">IFERROR(__xludf.DUMMYFUNCTION("""COMPUTED_VALUE"""),"Video that show how use the tool.")</f>
        <v>Video that show how use the tool.</v>
      </c>
      <c r="AE25" s="4" t="str">
        <f ca="1">IFERROR(__xludf.DUMMYFUNCTION("""COMPUTED_VALUE"""),"Explanations in English too quick.")</f>
        <v>Explanations in English too quick.</v>
      </c>
      <c r="AF25" s="4" t="str">
        <f ca="1">IFERROR(__xludf.DUMMYFUNCTION("""COMPUTED_VALUE"""),"Yes")</f>
        <v>Yes</v>
      </c>
      <c r="AG25" s="4" t="str">
        <f ca="1">IFERROR(__xludf.DUMMYFUNCTION("""COMPUTED_VALUE"""),"Università degli Studi di Napoli Federico II")</f>
        <v>Università degli Studi di Napoli Federico II</v>
      </c>
      <c r="AH25" s="4" t="str">
        <f ca="1">IFERROR(__xludf.DUMMYFUNCTION("""COMPUTED_VALUE"""),"Give a guide in more languages.")</f>
        <v>Give a guide in more languages.</v>
      </c>
      <c r="AI25" s="4" t="str">
        <f ca="1">IFERROR(__xludf.DUMMYFUNCTION("""COMPUTED_VALUE"""),"dulcisinfundis@hotmail.it")</f>
        <v>dulcisinfundis@hotmail.it</v>
      </c>
      <c r="AJ25" s="4"/>
      <c r="AK25" s="4"/>
      <c r="AL25" s="4"/>
      <c r="AM25" s="4"/>
      <c r="AN25" s="4"/>
      <c r="AO25" s="4"/>
    </row>
    <row r="26" spans="1:41" x14ac:dyDescent="0.25">
      <c r="A26" s="5">
        <f ca="1">IFERROR(__xludf.DUMMYFUNCTION("""COMPUTED_VALUE"""),45418.582847824)</f>
        <v>45418.582847824</v>
      </c>
      <c r="B26" s="4" t="str">
        <f ca="1">IFERROR(__xludf.DUMMYFUNCTION("""COMPUTED_VALUE"""),"Library (including university library)")</f>
        <v>Library (including university library)</v>
      </c>
      <c r="C26" s="4" t="str">
        <f ca="1">IFERROR(__xludf.DUMMYFUNCTION("""COMPUTED_VALUE"""),"Conservation (restauration)")</f>
        <v>Conservation (restauration)</v>
      </c>
      <c r="D26" s="4" t="str">
        <f ca="1">IFERROR(__xludf.DUMMYFUNCTION("""COMPUTED_VALUE"""),"Netherlands")</f>
        <v>Netherlands</v>
      </c>
      <c r="E26" s="4"/>
      <c r="F26" s="4" t="str">
        <f ca="1">IFERROR(__xludf.DUMMYFUNCTION("""COMPUTED_VALUE"""),"55-64")</f>
        <v>55-64</v>
      </c>
      <c r="G26" s="4" t="str">
        <f ca="1">IFERROR(__xludf.DUMMYFUNCTION("""COMPUTED_VALUE"""),"Mmmonk School 2023, 2023-12-01")</f>
        <v>Mmmonk School 2023, 2023-12-01</v>
      </c>
      <c r="H26" s="4" t="str">
        <f ca="1">IFERROR(__xludf.DUMMYFUNCTION("""COMPUTED_VALUE"""),"Yes")</f>
        <v>Yes</v>
      </c>
      <c r="I26" s="4" t="str">
        <f ca="1">IFERROR(__xludf.DUMMYFUNCTION("""COMPUTED_VALUE"""),"No")</f>
        <v>No</v>
      </c>
      <c r="J26" s="4"/>
      <c r="K26" s="4"/>
      <c r="L26" s="4"/>
      <c r="M26" s="4"/>
      <c r="N26" s="4" t="str">
        <f ca="1">IFERROR(__xludf.DUMMYFUNCTION("""COMPUTED_VALUE"""),"The ability to compare on line two illuminations from two medieval manuscripts kept at different institutions")</f>
        <v>The ability to compare on line two illuminations from two medieval manuscripts kept at different institutions</v>
      </c>
      <c r="O26" s="4" t="str">
        <f ca="1">IFERROR(__xludf.DUMMYFUNCTION("""COMPUTED_VALUE"""),"No")</f>
        <v>No</v>
      </c>
      <c r="P26" s="4" t="str">
        <f ca="1">IFERROR(__xludf.DUMMYFUNCTION("""COMPUTED_VALUE"""),"Compare items in the Mirador Viewer")</f>
        <v>Compare items in the Mirador Viewer</v>
      </c>
      <c r="Q26" s="4" t="str">
        <f ca="1">IFERROR(__xludf.DUMMYFUNCTION("""COMPUTED_VALUE"""),"No")</f>
        <v>No</v>
      </c>
      <c r="R26" s="4"/>
      <c r="S26" s="4"/>
      <c r="T26" s="4"/>
      <c r="U26" s="4"/>
      <c r="V26" s="4"/>
      <c r="W26" s="4"/>
      <c r="X26" s="4"/>
      <c r="Y26" s="4"/>
      <c r="Z26" s="4"/>
      <c r="AA26" s="4"/>
      <c r="AB26" s="4" t="str">
        <f ca="1">IFERROR(__xludf.DUMMYFUNCTION("""COMPUTED_VALUE"""),"It has no priority for my work")</f>
        <v>It has no priority for my work</v>
      </c>
      <c r="AC26" s="4" t="str">
        <f ca="1">IFERROR(__xludf.DUMMYFUNCTION("""COMPUTED_VALUE"""),"Maybe when there will be a moment that IIIF wil help with conservation problems.")</f>
        <v>Maybe when there will be a moment that IIIF wil help with conservation problems.</v>
      </c>
      <c r="AD26" s="4" t="str">
        <f ca="1">IFERROR(__xludf.DUMMYFUNCTION("""COMPUTED_VALUE"""),"Easy to register, and look for new knowlegde what interests me")</f>
        <v>Easy to register, and look for new knowlegde what interests me</v>
      </c>
      <c r="AE26" s="4" t="str">
        <f ca="1">IFERROR(__xludf.DUMMYFUNCTION("""COMPUTED_VALUE"""),"No idea")</f>
        <v>No idea</v>
      </c>
      <c r="AF26" s="4" t="str">
        <f ca="1">IFERROR(__xludf.DUMMYFUNCTION("""COMPUTED_VALUE"""),"No")</f>
        <v>No</v>
      </c>
      <c r="AG26" s="4"/>
      <c r="AH26" s="4"/>
      <c r="AI26" s="4"/>
      <c r="AJ26" s="4"/>
      <c r="AK26" s="4"/>
      <c r="AL26" s="4"/>
      <c r="AM26" s="4"/>
      <c r="AN26" s="4"/>
      <c r="AO26" s="4"/>
    </row>
    <row r="27" spans="1:41" x14ac:dyDescent="0.25">
      <c r="A27" s="5">
        <f ca="1">IFERROR(__xludf.DUMMYFUNCTION("""COMPUTED_VALUE"""),45419.7038842129)</f>
        <v>45419.703884212897</v>
      </c>
      <c r="B27" s="4" t="str">
        <f ca="1">IFERROR(__xludf.DUMMYFUNCTION("""COMPUTED_VALUE"""),"University (faculty)")</f>
        <v>University (faculty)</v>
      </c>
      <c r="C27" s="4" t="str">
        <f ca="1">IFERROR(__xludf.DUMMYFUNCTION("""COMPUTED_VALUE"""),"Student")</f>
        <v>Student</v>
      </c>
      <c r="D27" s="4" t="str">
        <f ca="1">IFERROR(__xludf.DUMMYFUNCTION("""COMPUTED_VALUE"""),"Belgium")</f>
        <v>Belgium</v>
      </c>
      <c r="E27" s="4"/>
      <c r="F27" s="4" t="str">
        <f ca="1">IFERROR(__xludf.DUMMYFUNCTION("""COMPUTED_VALUE"""),"18-24")</f>
        <v>18-24</v>
      </c>
      <c r="G27" s="4" t="str">
        <f ca="1">IFERROR(__xludf.DUMMYFUNCTION("""COMPUTED_VALUE"""),"Ghent University, Latin Literature, Prof. Wim Verbaal, 2022-12-06")</f>
        <v>Ghent University, Latin Literature, Prof. Wim Verbaal, 2022-12-06</v>
      </c>
      <c r="H27" s="4" t="str">
        <f ca="1">IFERROR(__xludf.DUMMYFUNCTION("""COMPUTED_VALUE"""),"No, I had never heard the IIIF acronym or seen/noticed the IIIF logo before I registered for the Mmmonk IIIF Workshop.")</f>
        <v>No, I had never heard the IIIF acronym or seen/noticed the IIIF logo before I registered for the Mmmonk IIIF Workshop.</v>
      </c>
      <c r="I27" s="4" t="str">
        <f ca="1">IFERROR(__xludf.DUMMYFUNCTION("""COMPUTED_VALUE"""),"No")</f>
        <v>No</v>
      </c>
      <c r="J27" s="4"/>
      <c r="K27" s="4"/>
      <c r="L27" s="4"/>
      <c r="M27" s="4"/>
      <c r="N27" s="4" t="str">
        <f ca="1">IFERROR(__xludf.DUMMYFUNCTION("""COMPUTED_VALUE"""),"It’s a project to render manuscripts available to a broader public.")</f>
        <v>It’s a project to render manuscripts available to a broader public.</v>
      </c>
      <c r="O27" s="4" t="str">
        <f ca="1">IFERROR(__xludf.DUMMYFUNCTION("""COMPUTED_VALUE"""),"Yes")</f>
        <v>Yes</v>
      </c>
      <c r="P27" s="4" t="str">
        <f ca="1">IFERROR(__xludf.DUMMYFUNCTION("""COMPUTED_VALUE"""),"Create a virtual tour in a.o. Exhibit")</f>
        <v>Create a virtual tour in a.o. Exhibit</v>
      </c>
      <c r="Q27" s="4" t="str">
        <f ca="1">IFERROR(__xludf.DUMMYFUNCTION("""COMPUTED_VALUE"""),"Yes (or I have specific plans to use it in the future)")</f>
        <v>Yes (or I have specific plans to use it in the future)</v>
      </c>
      <c r="R27" s="4" t="str">
        <f ca="1">IFERROR(__xludf.DUMMYFUNCTION("""COMPUTED_VALUE"""),"Create a virtual tour in a.o. Exhibit")</f>
        <v>Create a virtual tour in a.o. Exhibit</v>
      </c>
      <c r="S27" s="4" t="str">
        <f ca="1">IFERROR(__xludf.DUMMYFUNCTION("""COMPUTED_VALUE"""),"Yes, as inspiration for a project with IIIF")</f>
        <v>Yes, as inspiration for a project with IIIF</v>
      </c>
      <c r="T27" s="4" t="str">
        <f ca="1">IFERROR(__xludf.DUMMYFUNCTION("""COMPUTED_VALUE"""),"Strongly agree")</f>
        <v>Strongly agree</v>
      </c>
      <c r="U27" s="4" t="str">
        <f ca="1">IFERROR(__xludf.DUMMYFUNCTION("""COMPUTED_VALUE"""),"Neutral")</f>
        <v>Neutral</v>
      </c>
      <c r="V27" s="4" t="str">
        <f ca="1">IFERROR(__xludf.DUMMYFUNCTION("""COMPUTED_VALUE"""),"Agree")</f>
        <v>Agree</v>
      </c>
      <c r="W27" s="4" t="str">
        <f ca="1">IFERROR(__xludf.DUMMYFUNCTION("""COMPUTED_VALUE"""),"Agree")</f>
        <v>Agree</v>
      </c>
      <c r="X27" s="4" t="str">
        <f ca="1">IFERROR(__xludf.DUMMYFUNCTION("""COMPUTED_VALUE"""),"Neutral")</f>
        <v>Neutral</v>
      </c>
      <c r="Y27" s="4"/>
      <c r="Z27" s="4" t="str">
        <f ca="1">IFERROR(__xludf.DUMMYFUNCTION("""COMPUTED_VALUE"""),"Yes")</f>
        <v>Yes</v>
      </c>
      <c r="AA27" s="4"/>
      <c r="AB27" s="4"/>
      <c r="AC27" s="4"/>
      <c r="AD27" s="4" t="str">
        <f ca="1">IFERROR(__xludf.DUMMYFUNCTION("""COMPUTED_VALUE"""),"Format")</f>
        <v>Format</v>
      </c>
      <c r="AE27" s="4" t="str">
        <f ca="1">IFERROR(__xludf.DUMMYFUNCTION("""COMPUTED_VALUE"""),"Exercices")</f>
        <v>Exercices</v>
      </c>
      <c r="AF27" s="4" t="str">
        <f ca="1">IFERROR(__xludf.DUMMYFUNCTION("""COMPUTED_VALUE"""),"No")</f>
        <v>No</v>
      </c>
      <c r="AG27" s="4"/>
      <c r="AH27" s="4"/>
      <c r="AI27" s="4"/>
      <c r="AJ27" s="4"/>
      <c r="AK27" s="4"/>
      <c r="AL27" s="4"/>
      <c r="AM27" s="4"/>
      <c r="AN27" s="4"/>
      <c r="AO27" s="4"/>
    </row>
    <row r="28" spans="1:41" x14ac:dyDescent="0.25">
      <c r="A28" s="5">
        <f ca="1">IFERROR(__xludf.DUMMYFUNCTION("""COMPUTED_VALUE"""),45422.4874656944)</f>
        <v>45422.487465694401</v>
      </c>
      <c r="B28" s="4" t="str">
        <f ca="1">IFERROR(__xludf.DUMMYFUNCTION("""COMPUTED_VALUE"""),"Library (including university library)")</f>
        <v>Library (including university library)</v>
      </c>
      <c r="C28" s="4" t="str">
        <f ca="1">IFERROR(__xludf.DUMMYFUNCTION("""COMPUTED_VALUE"""),"Collection management")</f>
        <v>Collection management</v>
      </c>
      <c r="D28" s="4" t="str">
        <f ca="1">IFERROR(__xludf.DUMMYFUNCTION("""COMPUTED_VALUE"""),"Belgium")</f>
        <v>Belgium</v>
      </c>
      <c r="E28" s="4"/>
      <c r="F28" s="4" t="str">
        <f ca="1">IFERROR(__xludf.DUMMYFUNCTION("""COMPUTED_VALUE"""),"55-64")</f>
        <v>55-64</v>
      </c>
      <c r="G28" s="4" t="str">
        <f ca="1">IFERROR(__xludf.DUMMYFUNCTION("""COMPUTED_VALUE"""),"Mmmonk School 2022, 2022-12-16")</f>
        <v>Mmmonk School 2022, 2022-12-16</v>
      </c>
      <c r="H28" s="4" t="str">
        <f ca="1">IFERROR(__xludf.DUMMYFUNCTION("""COMPUTED_VALUE"""),"Yes")</f>
        <v>Yes</v>
      </c>
      <c r="I28" s="4" t="str">
        <f ca="1">IFERROR(__xludf.DUMMYFUNCTION("""COMPUTED_VALUE"""),"No")</f>
        <v>No</v>
      </c>
      <c r="J28" s="4"/>
      <c r="K28" s="4"/>
      <c r="L28" s="4"/>
      <c r="M28" s="4"/>
      <c r="N28" s="4" t="str">
        <f ca="1">IFERROR(__xludf.DUMMYFUNCTION("""COMPUTED_VALUE"""),"A new digital method for management, sharing, and use of digital images")</f>
        <v>A new digital method for management, sharing, and use of digital images</v>
      </c>
      <c r="O28" s="4" t="str">
        <f ca="1">IFERROR(__xludf.DUMMYFUNCTION("""COMPUTED_VALUE"""),"No")</f>
        <v>No</v>
      </c>
      <c r="P28" s="4" t="str">
        <f ca="1">IFERROR(__xludf.DUMMYFUNCTION("""COMPUTED_VALUE"""),"Embed a viewer on a web page")</f>
        <v>Embed a viewer on a web page</v>
      </c>
      <c r="Q28" s="4" t="str">
        <f ca="1">IFERROR(__xludf.DUMMYFUNCTION("""COMPUTED_VALUE"""),"No")</f>
        <v>No</v>
      </c>
      <c r="R28" s="4"/>
      <c r="S28" s="4"/>
      <c r="T28" s="4"/>
      <c r="U28" s="4"/>
      <c r="V28" s="4"/>
      <c r="W28" s="4"/>
      <c r="X28" s="4"/>
      <c r="Y28" s="4"/>
      <c r="Z28" s="4"/>
      <c r="AA28" s="4"/>
      <c r="AB28" s="4" t="str">
        <f ca="1">IFERROR(__xludf.DUMMYFUNCTION("""COMPUTED_VALUE"""),"Haven't had the time or occasion yet")</f>
        <v>Haven't had the time or occasion yet</v>
      </c>
      <c r="AC28" s="4" t="str">
        <f ca="1">IFERROR(__xludf.DUMMYFUNCTION("""COMPUTED_VALUE"""),"A digital expert in our library")</f>
        <v>A digital expert in our library</v>
      </c>
      <c r="AD28" s="4" t="str">
        <f ca="1">IFERROR(__xludf.DUMMYFUNCTION("""COMPUTED_VALUE"""),"Is was a useful introduction ")</f>
        <v xml:space="preserve">Is was a useful introduction </v>
      </c>
      <c r="AE28" s="4" t="str">
        <f ca="1">IFERROR(__xludf.DUMMYFUNCTION("""COMPUTED_VALUE"""),"No answer")</f>
        <v>No answer</v>
      </c>
      <c r="AF28" s="4" t="str">
        <f ca="1">IFERROR(__xludf.DUMMYFUNCTION("""COMPUTED_VALUE"""),"Yes")</f>
        <v>Yes</v>
      </c>
      <c r="AG28" s="4" t="str">
        <f ca="1">IFERROR(__xludf.DUMMYFUNCTION("""COMPUTED_VALUE"""),"MMMONK website (https://www.mmmonk.be), website of meemoo (https://meemoo.be)")</f>
        <v>MMMONK website (https://www.mmmonk.be), website of meemoo (https://meemoo.be)</v>
      </c>
      <c r="AH28" s="4"/>
      <c r="AI28" s="4"/>
      <c r="AJ28" s="4"/>
      <c r="AK28" s="4"/>
      <c r="AL28" s="4"/>
      <c r="AM28" s="4"/>
      <c r="AN28" s="4"/>
      <c r="AO28" s="4"/>
    </row>
    <row r="29" spans="1:41" x14ac:dyDescent="0.25">
      <c r="A29" s="5">
        <f ca="1">IFERROR(__xludf.DUMMYFUNCTION("""COMPUTED_VALUE"""),45426.4044759027)</f>
        <v>45426.404475902702</v>
      </c>
      <c r="B29" s="4" t="str">
        <f ca="1">IFERROR(__xludf.DUMMYFUNCTION("""COMPUTED_VALUE"""),"Library (including university library)")</f>
        <v>Library (including university library)</v>
      </c>
      <c r="C29" s="4" t="str">
        <f ca="1">IFERROR(__xludf.DUMMYFUNCTION("""COMPUTED_VALUE"""),"Collection management")</f>
        <v>Collection management</v>
      </c>
      <c r="D29" s="4" t="str">
        <f ca="1">IFERROR(__xludf.DUMMYFUNCTION("""COMPUTED_VALUE"""),"Belgium")</f>
        <v>Belgium</v>
      </c>
      <c r="E29" s="4"/>
      <c r="F29" s="4" t="str">
        <f ca="1">IFERROR(__xludf.DUMMYFUNCTION("""COMPUTED_VALUE"""),"35-44")</f>
        <v>35-44</v>
      </c>
      <c r="G29" s="4" t="str">
        <f ca="1">IFERROR(__xludf.DUMMYFUNCTION("""COMPUTED_VALUE"""),"Mmmonk School 2023, 2023-12-01")</f>
        <v>Mmmonk School 2023, 2023-12-01</v>
      </c>
      <c r="H29" s="4" t="str">
        <f ca="1">IFERROR(__xludf.DUMMYFUNCTION("""COMPUTED_VALUE"""),"Yes")</f>
        <v>Yes</v>
      </c>
      <c r="I29" s="4" t="str">
        <f ca="1">IFERROR(__xludf.DUMMYFUNCTION("""COMPUTED_VALUE"""),"No")</f>
        <v>No</v>
      </c>
      <c r="J29" s="4"/>
      <c r="K29" s="4"/>
      <c r="L29" s="4"/>
      <c r="M29" s="4"/>
      <c r="N29" s="4" t="str">
        <f ca="1">IFERROR(__xludf.DUMMYFUNCTION("""COMPUTED_VALUE"""),"Een manier om beelden op te slaan en te delen met behoud van de metadata")</f>
        <v>Een manier om beelden op te slaan en te delen met behoud van de metadata</v>
      </c>
      <c r="O29" s="4" t="str">
        <f ca="1">IFERROR(__xludf.DUMMYFUNCTION("""COMPUTED_VALUE"""),"No")</f>
        <v>No</v>
      </c>
      <c r="P29" s="4" t="str">
        <f ca="1">IFERROR(__xludf.DUMMYFUNCTION("""COMPUTED_VALUE"""),"I didn't attend the IIIF workshop")</f>
        <v>I didn't attend the IIIF workshop</v>
      </c>
      <c r="Q29" s="4" t="str">
        <f ca="1">IFERROR(__xludf.DUMMYFUNCTION("""COMPUTED_VALUE"""),"No")</f>
        <v>No</v>
      </c>
      <c r="R29" s="4"/>
      <c r="S29" s="4"/>
      <c r="T29" s="4"/>
      <c r="U29" s="4"/>
      <c r="V29" s="4"/>
      <c r="W29" s="4"/>
      <c r="X29" s="4"/>
      <c r="Y29" s="4"/>
      <c r="Z29" s="4"/>
      <c r="AA29" s="4"/>
      <c r="AB29" s="4" t="str">
        <f ca="1">IFERROR(__xludf.DUMMYFUNCTION("""COMPUTED_VALUE"""),"Haven't had the time or occasion yet")</f>
        <v>Haven't had the time or occasion yet</v>
      </c>
      <c r="AC29" s="4" t="str">
        <f ca="1">IFERROR(__xludf.DUMMYFUNCTION("""COMPUTED_VALUE"""),"I don't work with images, only catalography and library management. When starting projects about specific themes and prints, I would definitely like to learn more about IIIF, but sofar hadn't had the time for it")</f>
        <v>I don't work with images, only catalography and library management. When starting projects about specific themes and prints, I would definitely like to learn more about IIIF, but sofar hadn't had the time for it</v>
      </c>
      <c r="AD29" s="4" t="str">
        <f ca="1">IFERROR(__xludf.DUMMYFUNCTION("""COMPUTED_VALUE"""),"I  loved the information about book covers and the history of it")</f>
        <v>I  loved the information about book covers and the history of it</v>
      </c>
      <c r="AE29" s="4" t="str">
        <f ca="1">IFERROR(__xludf.DUMMYFUNCTION("""COMPUTED_VALUE"""),"none")</f>
        <v>none</v>
      </c>
      <c r="AF29" s="4" t="str">
        <f ca="1">IFERROR(__xludf.DUMMYFUNCTION("""COMPUTED_VALUE"""),"No")</f>
        <v>No</v>
      </c>
      <c r="AG29" s="4"/>
      <c r="AH29" s="4"/>
      <c r="AI29" s="4"/>
      <c r="AJ29" s="4"/>
      <c r="AK29" s="4"/>
      <c r="AL29" s="4"/>
      <c r="AM29" s="4"/>
      <c r="AN29" s="4"/>
      <c r="AO29"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O11"/>
  <sheetViews>
    <sheetView topLeftCell="E1" workbookViewId="0">
      <selection activeCell="Q1" sqref="Q1"/>
    </sheetView>
  </sheetViews>
  <sheetFormatPr defaultColWidth="12.6640625" defaultRowHeight="15.75" customHeight="1" x14ac:dyDescent="0.25"/>
  <sheetData>
    <row r="1" spans="1:41" x14ac:dyDescent="0.25">
      <c r="A1" s="4" t="str">
        <f ca="1">IFERROR(__xludf.DUMMYFUNCTION("QUERY('Formulierreacties 1'!1:64,""select * where O = 'No'"",1)"),"Tijdstempel")</f>
        <v>Tijdstempel</v>
      </c>
      <c r="B1" s="4" t="str">
        <f ca="1">IFERROR(__xludf.DUMMYFUNCTION("""COMPUTED_VALUE"""),"What type of organization are you affiliated with?
In case of several options, select the one you identify most with.")</f>
        <v>What type of organization are you affiliated with?
In case of several options, select the one you identify most with.</v>
      </c>
      <c r="C1" s="4" t="str">
        <f ca="1">IFERROR(__xludf.DUMMYFUNCTION("""COMPUTED_VALUE"""),"What is your domain or area of expertise? 
In case of several roles, select the option you identify most with.")</f>
        <v>What is your domain or area of expertise? 
In case of several roles, select the option you identify most with.</v>
      </c>
      <c r="D1" s="4" t="str">
        <f ca="1">IFERROR(__xludf.DUMMYFUNCTION("""COMPUTED_VALUE"""),"Country of employment or study?")</f>
        <v>Country of employment or study?</v>
      </c>
      <c r="E1" s="4" t="str">
        <f ca="1">IFERROR(__xludf.DUMMYFUNCTION("""COMPUTED_VALUE"""),"How do you identify yourself?")</f>
        <v>How do you identify yourself?</v>
      </c>
      <c r="F1" s="4" t="str">
        <f ca="1">IFERROR(__xludf.DUMMYFUNCTION("""COMPUTED_VALUE"""),"Wat is your age?")</f>
        <v>Wat is your age?</v>
      </c>
      <c r="G1" s="4" t="str">
        <f ca="1">IFERROR(__xludf.DUMMYFUNCTION("""COMPUTED_VALUE"""),"Which Mmmonk IIIF Workshop did you attend?")</f>
        <v>Which Mmmonk IIIF Workshop did you attend?</v>
      </c>
      <c r="H1" s="4" t="str">
        <f ca="1">IFERROR(__xludf.DUMMYFUNCTION("""COMPUTED_VALUE"""),"Were you aware of the existence of IIIF before you registered for the Mmmonk IIIF Workshop?")</f>
        <v>Were you aware of the existence of IIIF before you registered for the Mmmonk IIIF Workshop?</v>
      </c>
      <c r="I1" s="4" t="str">
        <f ca="1">IFERROR(__xludf.DUMMYFUNCTION("""COMPUTED_VALUE"""),"Beyond being simply aware of its existence, did you have any prior knowledge about IIIF  before you registered for the Mmmonk IIIF Workshop?")</f>
        <v>Beyond being simply aware of its existence, did you have any prior knowledge about IIIF  before you registered for the Mmmonk IIIF Workshop?</v>
      </c>
      <c r="J1" s="4" t="str">
        <f ca="1">IFERROR(__xludf.DUMMYFUNCTION("""COMPUTED_VALUE"""),"How did you learn about IIIF before the Mmmonk IIIF Workshop?")</f>
        <v>How did you learn about IIIF before the Mmmonk IIIF Workshop?</v>
      </c>
      <c r="K1" s="4" t="str">
        <f ca="1">IFERROR(__xludf.DUMMYFUNCTION("""COMPUTED_VALUE"""),"If you learned about IIIF by word of mouth before the Mmmonk IIIF Workshop: who introduced you?")</f>
        <v>If you learned about IIIF by word of mouth before the Mmmonk IIIF Workshop: who introduced you?</v>
      </c>
      <c r="L1" s="4" t="str">
        <f ca="1">IFERROR(__xludf.DUMMYFUNCTION("""COMPUTED_VALUE"""),"If you learned about IIIF through a workshop (prior to the Mmmonk IIIF Workshop), which workshop did you attend?")</f>
        <v>If you learned about IIIF through a workshop (prior to the Mmmonk IIIF Workshop), which workshop did you attend?</v>
      </c>
      <c r="M1" s="4" t="str">
        <f ca="1">IFERROR(__xludf.DUMMYFUNCTION("""COMPUTED_VALUE"""),"If you learned about IIIF by yourself, which sources did you use? ")</f>
        <v xml:space="preserve">If you learned about IIIF by yourself, which sources did you use? </v>
      </c>
      <c r="N1" s="4" t="str">
        <f ca="1">IFERROR(__xludf.DUMMYFUNCTION("""COMPUTED_VALUE"""),"Can you briefly explain in your own words what IIIF is? ")</f>
        <v xml:space="preserve">Can you briefly explain in your own words what IIIF is? </v>
      </c>
      <c r="O1" s="4" t="str">
        <f ca="1">IFERROR(__xludf.DUMMYFUNCTION("""COMPUTED_VALUE"""),"After attending the workshop, did you intend to apply the IIIF tips and tricks from the workshop?")</f>
        <v>After attending the workshop, did you intend to apply the IIIF tips and tricks from the workshop?</v>
      </c>
      <c r="P1" s="4" t="str">
        <f ca="1">IFERROR(__xludf.DUMMYFUNCTION("""COMPUTED_VALUE"""),"Which tool or application demonstrated in the workshop seemed most useful or promising for your work?
For a quick reminder of what we've covered, go to https://www.mmmonk.be/en/about-iiif/workshops. ")</f>
        <v xml:space="preserve">Which tool or application demonstrated in the workshop seemed most useful or promising for your work?
For a quick reminder of what we've covered, go to https://www.mmmonk.be/en/about-iiif/workshops. </v>
      </c>
      <c r="Q1" s="4" t="str">
        <f ca="1">IFERROR(__xludf.DUMMYFUNCTION("""COMPUTED_VALUE"""),"Did you effectively start using IIIF (more) after attending the Mmmonk IIIF Workshop?")</f>
        <v>Did you effectively start using IIIF (more) after attending the Mmmonk IIIF Workshop?</v>
      </c>
      <c r="R1" s="4" t="str">
        <f ca="1">IFERROR(__xludf.DUMMYFUNCTION("""COMPUTED_VALUE"""),"Which tools or applications did you start using?")</f>
        <v>Which tools or applications did you start using?</v>
      </c>
      <c r="S1" s="4" t="str">
        <f ca="1">IFERROR(__xludf.DUMMYFUNCTION("""COMPUTED_VALUE"""),"Did you apply the knowledge gained in the workshop in any other way?")</f>
        <v>Did you apply the knowledge gained in the workshop in any other way?</v>
      </c>
      <c r="T1" s="4" t="str">
        <f ca="1">IFERROR(__xludf.DUMMYFUNCTION("""COMPUTED_VALUE"""),"What is your main reason or motivation for using IIIF?
You will be able to add other reasons in the following question. [Allows me to do things I wouldn't be able to do otherwise, e.g. comparing objects]")</f>
        <v>What is your main reason or motivation for using IIIF?
You will be able to add other reasons in the following question. [Allows me to do things I wouldn't be able to do otherwise, e.g. comparing objects]</v>
      </c>
      <c r="U1" s="4" t="str">
        <f ca="1">IFERROR(__xludf.DUMMYFUNCTION("""COMPUTED_VALUE"""),"What is your main reason or motivation for using IIIF?
You will be able to add other reasons in the following question. [Save space on my local drive or in my cloud]")</f>
        <v>What is your main reason or motivation for using IIIF?
You will be able to add other reasons in the following question. [Save space on my local drive or in my cloud]</v>
      </c>
      <c r="V1" s="4" t="str">
        <f ca="1">IFERROR(__xludf.DUMMYFUNCTION("""COMPUTED_VALUE"""),"What is your main reason or motivation for using IIIF?
You will be able to add other reasons in the following question. [Better viewers than institutional viewers]")</f>
        <v>What is your main reason or motivation for using IIIF?
You will be able to add other reasons in the following question. [Better viewers than institutional viewers]</v>
      </c>
      <c r="W1" s="4" t="str">
        <f ca="1">IFERROR(__xludf.DUMMYFUNCTION("""COMPUTED_VALUE"""),"What is your main reason or motivation for using IIIF?
You will be able to add other reasons in the following question. [It's mandatory, e.g. I participate in a collaborative project that uses IIIF, I have to create a guided viewing as part of the curricu"&amp;"lum… ]")</f>
        <v>What is your main reason or motivation for using IIIF?
You will be able to add other reasons in the following question. [It's mandatory, e.g. I participate in a collaborative project that uses IIIF, I have to create a guided viewing as part of the curriculum… ]</v>
      </c>
      <c r="X1" s="4" t="str">
        <f ca="1">IFERROR(__xludf.DUMMYFUNCTION("""COMPUTED_VALUE"""),"What is your main reason or motivation for using IIIF?
You will be able to add other reasons in the following question. [Reduce carbon footprint]")</f>
        <v>What is your main reason or motivation for using IIIF?
You will be able to add other reasons in the following question. [Reduce carbon footprint]</v>
      </c>
      <c r="Y1" s="4" t="str">
        <f ca="1">IFERROR(__xludf.DUMMYFUNCTION("""COMPUTED_VALUE"""),"Do you have other reasons for using IIIF?")</f>
        <v>Do you have other reasons for using IIIF?</v>
      </c>
      <c r="Z1" s="4" t="str">
        <f ca="1">IFERROR(__xludf.DUMMYFUNCTION("""COMPUTED_VALUE"""),"Do you find it easy to find IIIF manifests URLs?
Quick reminder: The IIIF manifest URL is the URL you copy and paste in order to import the digital data for an object into a tool or application.")</f>
        <v>Do you find it easy to find IIIF manifests URLs?
Quick reminder: The IIIF manifest URL is the URL you copy and paste in order to import the digital data for an object into a tool or application.</v>
      </c>
      <c r="AA1" s="4" t="str">
        <f ca="1">IFERROR(__xludf.DUMMYFUNCTION("""COMPUTED_VALUE"""),"Do you have any ideas or recommendations to make it easier to find IIIF manifest URLs?")</f>
        <v>Do you have any ideas or recommendations to make it easier to find IIIF manifest URLs?</v>
      </c>
      <c r="AB1" s="4" t="str">
        <f ca="1">IFERROR(__xludf.DUMMYFUNCTION("""COMPUTED_VALUE"""),"What is your main reason for not using IIIF?")</f>
        <v>What is your main reason for not using IIIF?</v>
      </c>
      <c r="AC1" s="4" t="str">
        <f ca="1">IFERROR(__xludf.DUMMYFUNCTION("""COMPUTED_VALUE"""),"What is the key element of change you would need to see before you would start using IIIF for your work?")</f>
        <v>What is the key element of change you would need to see before you would start using IIIF for your work?</v>
      </c>
      <c r="AD1" s="4" t="str">
        <f ca="1">IFERROR(__xludf.DUMMYFUNCTION("""COMPUTED_VALUE"""),"What aspect of the workshop did you like most? 
What makes this workshop a succes? This can be about methodology, communication, format, ...")</f>
        <v>What aspect of the workshop did you like most? 
What makes this workshop a succes? This can be about methodology, communication, format, ...</v>
      </c>
      <c r="AE1" s="4" t="str">
        <f ca="1">IFERROR(__xludf.DUMMYFUNCTION("""COMPUTED_VALUE"""),"What aspect of the workshop did you like the least?
What do we need to change to improve the impact of our workshop?")</f>
        <v>What aspect of the workshop did you like the least?
What do we need to change to improve the impact of our workshop?</v>
      </c>
      <c r="AF1" s="4" t="str">
        <f ca="1">IFERROR(__xludf.DUMMYFUNCTION("""COMPUTED_VALUE"""),"Have you taken other training or sought other information to gain knowledge about IIIF?")</f>
        <v>Have you taken other training or sought other information to gain knowledge about IIIF?</v>
      </c>
      <c r="AG1" s="4" t="str">
        <f ca="1">IFERROR(__xludf.DUMMYFUNCTION("""COMPUTED_VALUE"""),"If so, which ?")</f>
        <v>If so, which ?</v>
      </c>
      <c r="AH1" s="4" t="str">
        <f ca="1">IFERROR(__xludf.DUMMYFUNCTION("""COMPUTED_VALUE"""),"Is there anything else you would like to share with us?")</f>
        <v>Is there anything else you would like to share with us?</v>
      </c>
      <c r="AI1" s="4" t="str">
        <f ca="1">IFERROR(__xludf.DUMMYFUNCTION("""COMPUTED_VALUE"""),"Would you like to be kept informed of the results of this survey? If so, fill in your e-mail address.")</f>
        <v>Would you like to be kept informed of the results of this survey? If so, fill in your e-mail address.</v>
      </c>
      <c r="AJ1" s="4" t="str">
        <f ca="1">IFERROR(__xludf.DUMMYFUNCTION("""COMPUTED_VALUE"""),"")</f>
        <v/>
      </c>
      <c r="AK1" s="4" t="str">
        <f ca="1">IFERROR(__xludf.DUMMYFUNCTION("""COMPUTED_VALUE"""),"")</f>
        <v/>
      </c>
      <c r="AL1" s="4" t="str">
        <f ca="1">IFERROR(__xludf.DUMMYFUNCTION("""COMPUTED_VALUE"""),"")</f>
        <v/>
      </c>
      <c r="AM1" s="4" t="str">
        <f ca="1">IFERROR(__xludf.DUMMYFUNCTION("""COMPUTED_VALUE"""),"")</f>
        <v/>
      </c>
      <c r="AN1" s="4" t="str">
        <f ca="1">IFERROR(__xludf.DUMMYFUNCTION("""COMPUTED_VALUE"""),"")</f>
        <v/>
      </c>
      <c r="AO1" s="4" t="str">
        <f ca="1">IFERROR(__xludf.DUMMYFUNCTION("""COMPUTED_VALUE"""),"")</f>
        <v/>
      </c>
    </row>
    <row r="2" spans="1:41" x14ac:dyDescent="0.25">
      <c r="A2" s="5">
        <f ca="1">IFERROR(__xludf.DUMMYFUNCTION("""COMPUTED_VALUE"""),45397.4590506481)</f>
        <v>45397.459050648104</v>
      </c>
      <c r="B2" s="4" t="str">
        <f ca="1">IFERROR(__xludf.DUMMYFUNCTION("""COMPUTED_VALUE"""),"Museum")</f>
        <v>Museum</v>
      </c>
      <c r="C2" s="4" t="str">
        <f ca="1">IFERROR(__xludf.DUMMYFUNCTION("""COMPUTED_VALUE"""),"Data management")</f>
        <v>Data management</v>
      </c>
      <c r="D2" s="4" t="str">
        <f ca="1">IFERROR(__xludf.DUMMYFUNCTION("""COMPUTED_VALUE"""),"Belgium")</f>
        <v>Belgium</v>
      </c>
      <c r="E2" s="4"/>
      <c r="F2" s="4" t="str">
        <f ca="1">IFERROR(__xludf.DUMMYFUNCTION("""COMPUTED_VALUE"""),"25-34")</f>
        <v>25-34</v>
      </c>
      <c r="G2" s="4" t="str">
        <f ca="1">IFERROR(__xludf.DUMMYFUNCTION("""COMPUTED_VALUE"""),"Musea Brugge, 2024-01-30")</f>
        <v>Musea Brugge, 2024-01-30</v>
      </c>
      <c r="H2" s="4" t="str">
        <f ca="1">IFERROR(__xludf.DUMMYFUNCTION("""COMPUTED_VALUE"""),"Yes")</f>
        <v>Yes</v>
      </c>
      <c r="I2" s="4" t="str">
        <f ca="1">IFERROR(__xludf.DUMMYFUNCTION("""COMPUTED_VALUE"""),"Yes")</f>
        <v>Yes</v>
      </c>
      <c r="J2" s="4" t="str">
        <f ca="1">IFERROR(__xludf.DUMMYFUNCTION("""COMPUTED_VALUE"""),"IIIF is implemented by my institution")</f>
        <v>IIIF is implemented by my institution</v>
      </c>
      <c r="K2" s="4"/>
      <c r="L2" s="4"/>
      <c r="M2" s="4"/>
      <c r="N2" s="4" t="str">
        <f ca="1">IFERROR(__xludf.DUMMYFUNCTION("""COMPUTED_VALUE"""),"Framework for sharing high-resolution images using pyramid tiles to support efficient zooming")</f>
        <v>Framework for sharing high-resolution images using pyramid tiles to support efficient zooming</v>
      </c>
      <c r="O2" s="4" t="str">
        <f ca="1">IFERROR(__xludf.DUMMYFUNCTION("""COMPUTED_VALUE"""),"No")</f>
        <v>No</v>
      </c>
      <c r="P2" s="4" t="str">
        <f ca="1">IFERROR(__xludf.DUMMYFUNCTION("""COMPUTED_VALUE"""),"Create a virtual tour in a.o. Exhibit")</f>
        <v>Create a virtual tour in a.o. Exhibit</v>
      </c>
      <c r="Q2" s="4" t="str">
        <f ca="1">IFERROR(__xludf.DUMMYFUNCTION("""COMPUTED_VALUE"""),"Yes (or I have specific plans to use it in the future)")</f>
        <v>Yes (or I have specific plans to use it in the future)</v>
      </c>
      <c r="R2" s="4" t="str">
        <f ca="1">IFERROR(__xludf.DUMMYFUNCTION("""COMPUTED_VALUE"""),"Share detail on image with Universal Viewer")</f>
        <v>Share detail on image with Universal Viewer</v>
      </c>
      <c r="S2" s="4" t="str">
        <f ca="1">IFERROR(__xludf.DUMMYFUNCTION("""COMPUTED_VALUE"""),"Yes, I promoted IIIF to researchers, colleagues, students and/or external stakeholders")</f>
        <v>Yes, I promoted IIIF to researchers, colleagues, students and/or external stakeholders</v>
      </c>
      <c r="T2" s="4" t="str">
        <f ca="1">IFERROR(__xludf.DUMMYFUNCTION("""COMPUTED_VALUE"""),"Agree")</f>
        <v>Agree</v>
      </c>
      <c r="U2" s="4" t="str">
        <f ca="1">IFERROR(__xludf.DUMMYFUNCTION("""COMPUTED_VALUE"""),"Neutral")</f>
        <v>Neutral</v>
      </c>
      <c r="V2" s="4" t="str">
        <f ca="1">IFERROR(__xludf.DUMMYFUNCTION("""COMPUTED_VALUE"""),"Strongly agree")</f>
        <v>Strongly agree</v>
      </c>
      <c r="W2" s="4" t="str">
        <f ca="1">IFERROR(__xludf.DUMMYFUNCTION("""COMPUTED_VALUE"""),"Strongly disagree")</f>
        <v>Strongly disagree</v>
      </c>
      <c r="X2" s="4" t="str">
        <f ca="1">IFERROR(__xludf.DUMMYFUNCTION("""COMPUTED_VALUE"""),"Neutral")</f>
        <v>Neutral</v>
      </c>
      <c r="Y2" s="4" t="str">
        <f ca="1">IFERROR(__xludf.DUMMYFUNCTION("""COMPUTED_VALUE"""),"efficiency, great option for public facing collection window")</f>
        <v>efficiency, great option for public facing collection window</v>
      </c>
      <c r="Z2" s="4" t="str">
        <f ca="1">IFERROR(__xludf.DUMMYFUNCTION("""COMPUTED_VALUE"""),"depends on which institution is publishing the IIIF manifest")</f>
        <v>depends on which institution is publishing the IIIF manifest</v>
      </c>
      <c r="AA2" s="4"/>
      <c r="AB2" s="4"/>
      <c r="AC2" s="4"/>
      <c r="AD2" s="4" t="str">
        <f ca="1">IFERROR(__xludf.DUMMYFUNCTION("""COMPUTED_VALUE"""),"accessibility for people who are yet unfamiliar with the technology")</f>
        <v>accessibility for people who are yet unfamiliar with the technology</v>
      </c>
      <c r="AE2" s="4" t="str">
        <f ca="1">IFERROR(__xludf.DUMMYFUNCTION("""COMPUTED_VALUE"""),"-")</f>
        <v>-</v>
      </c>
      <c r="AF2" s="4" t="str">
        <f ca="1">IFERROR(__xludf.DUMMYFUNCTION("""COMPUTED_VALUE"""),"Yes")</f>
        <v>Yes</v>
      </c>
      <c r="AG2" s="4" t="str">
        <f ca="1">IFERROR(__xludf.DUMMYFUNCTION("""COMPUTED_VALUE"""),"IIIF website (https://iiif.io/), Awesome IIIF GitHub repository (https://github.com/IIIF/awesome-iiif), IIIF Fridays of the IIIF Collegagroep Vlaanderen en Nederland, website of meemoo (https://meemoo.be)")</f>
        <v>IIIF website (https://iiif.io/), Awesome IIIF GitHub repository (https://github.com/IIIF/awesome-iiif), IIIF Fridays of the IIIF Collegagroep Vlaanderen en Nederland, website of meemoo (https://meemoo.be)</v>
      </c>
      <c r="AH2" s="4"/>
      <c r="AI2" s="4"/>
      <c r="AJ2" s="4"/>
      <c r="AK2" s="4"/>
      <c r="AL2" s="4"/>
      <c r="AM2" s="4"/>
      <c r="AN2" s="4"/>
      <c r="AO2" s="4"/>
    </row>
    <row r="3" spans="1:41" x14ac:dyDescent="0.25">
      <c r="A3" s="5">
        <f ca="1">IFERROR(__xludf.DUMMYFUNCTION("""COMPUTED_VALUE"""),45397.5574579629)</f>
        <v>45397.557457962903</v>
      </c>
      <c r="B3" s="4" t="str">
        <f ca="1">IFERROR(__xludf.DUMMYFUNCTION("""COMPUTED_VALUE"""),"Archives")</f>
        <v>Archives</v>
      </c>
      <c r="C3" s="4" t="str">
        <f ca="1">IFERROR(__xludf.DUMMYFUNCTION("""COMPUTED_VALUE"""),"Education and outreach (in a cultural heritage institution)")</f>
        <v>Education and outreach (in a cultural heritage institution)</v>
      </c>
      <c r="D3" s="4" t="str">
        <f ca="1">IFERROR(__xludf.DUMMYFUNCTION("""COMPUTED_VALUE"""),"Belgium")</f>
        <v>Belgium</v>
      </c>
      <c r="E3" s="4"/>
      <c r="F3" s="4" t="str">
        <f ca="1">IFERROR(__xludf.DUMMYFUNCTION("""COMPUTED_VALUE"""),"45-54")</f>
        <v>45-54</v>
      </c>
      <c r="G3" s="4" t="str">
        <f ca="1">IFERROR(__xludf.DUMMYFUNCTION("""COMPUTED_VALUE"""),"meemoo, Flemish institute for archives, 2023-12-14")</f>
        <v>meemoo, Flemish institute for archives, 2023-12-14</v>
      </c>
      <c r="H3" s="4" t="str">
        <f ca="1">IFERROR(__xludf.DUMMYFUNCTION("""COMPUTED_VALUE"""),"Yes")</f>
        <v>Yes</v>
      </c>
      <c r="I3" s="4" t="str">
        <f ca="1">IFERROR(__xludf.DUMMYFUNCTION("""COMPUTED_VALUE"""),"No")</f>
        <v>No</v>
      </c>
      <c r="J3" s="4"/>
      <c r="K3" s="4"/>
      <c r="L3" s="4"/>
      <c r="M3" s="4"/>
      <c r="N3" s="4" t="str">
        <f ca="1">IFERROR(__xludf.DUMMYFUNCTION("""COMPUTED_VALUE"""),"A standard to promote the correct re-use of visual material")</f>
        <v>A standard to promote the correct re-use of visual material</v>
      </c>
      <c r="O3" s="4" t="str">
        <f ca="1">IFERROR(__xludf.DUMMYFUNCTION("""COMPUTED_VALUE"""),"No")</f>
        <v>No</v>
      </c>
      <c r="P3" s="4" t="str">
        <f ca="1">IFERROR(__xludf.DUMMYFUNCTION("""COMPUTED_VALUE"""),"Create a virtual tour in a.o. Exhibit")</f>
        <v>Create a virtual tour in a.o. Exhibit</v>
      </c>
      <c r="Q3" s="4" t="str">
        <f ca="1">IFERROR(__xludf.DUMMYFUNCTION("""COMPUTED_VALUE"""),"No")</f>
        <v>No</v>
      </c>
      <c r="R3" s="4"/>
      <c r="S3" s="4"/>
      <c r="T3" s="4"/>
      <c r="U3" s="4"/>
      <c r="V3" s="4"/>
      <c r="W3" s="4"/>
      <c r="X3" s="4"/>
      <c r="Y3" s="4"/>
      <c r="Z3" s="4"/>
      <c r="AA3" s="4"/>
      <c r="AB3" s="4" t="str">
        <f ca="1">IFERROR(__xludf.DUMMYFUNCTION("""COMPUTED_VALUE"""),"Not available for the specific items I need")</f>
        <v>Not available for the specific items I need</v>
      </c>
      <c r="AC3" s="4" t="str">
        <f ca="1">IFERROR(__xludf.DUMMYFUNCTION("""COMPUTED_VALUE"""),"it has to do with legal restrictions (author rights) on the materiaal we provide on our password protected website")</f>
        <v>it has to do with legal restrictions (author rights) on the materiaal we provide on our password protected website</v>
      </c>
      <c r="AD3" s="4" t="str">
        <f ca="1">IFERROR(__xludf.DUMMYFUNCTION("""COMPUTED_VALUE"""),"examples and exercises")</f>
        <v>examples and exercises</v>
      </c>
      <c r="AE3" s="4" t="str">
        <f ca="1">IFERROR(__xludf.DUMMYFUNCTION("""COMPUTED_VALUE"""),"nothing")</f>
        <v>nothing</v>
      </c>
      <c r="AF3" s="4" t="str">
        <f ca="1">IFERROR(__xludf.DUMMYFUNCTION("""COMPUTED_VALUE"""),"No")</f>
        <v>No</v>
      </c>
      <c r="AG3" s="4"/>
      <c r="AH3" s="4"/>
      <c r="AI3" s="4"/>
      <c r="AJ3" s="4"/>
      <c r="AK3" s="4"/>
      <c r="AL3" s="4"/>
      <c r="AM3" s="4"/>
      <c r="AN3" s="4"/>
      <c r="AO3" s="4"/>
    </row>
    <row r="4" spans="1:41" x14ac:dyDescent="0.25">
      <c r="A4" s="5">
        <f ca="1">IFERROR(__xludf.DUMMYFUNCTION("""COMPUTED_VALUE"""),45398.725342581)</f>
        <v>45398.725342580998</v>
      </c>
      <c r="B4" s="4" t="str">
        <f ca="1">IFERROR(__xludf.DUMMYFUNCTION("""COMPUTED_VALUE"""),"Vrijwilliger archiefwerking en geïnteresseerd in la uscripten")</f>
        <v>Vrijwilliger archiefwerking en geïnteresseerd in la uscripten</v>
      </c>
      <c r="C4" s="4" t="str">
        <f ca="1">IFERROR(__xludf.DUMMYFUNCTION("""COMPUTED_VALUE"""),"Geen expertise")</f>
        <v>Geen expertise</v>
      </c>
      <c r="D4" s="4" t="str">
        <f ca="1">IFERROR(__xludf.DUMMYFUNCTION("""COMPUTED_VALUE"""),"Belgium")</f>
        <v>Belgium</v>
      </c>
      <c r="E4" s="4"/>
      <c r="F4" s="4" t="str">
        <f ca="1">IFERROR(__xludf.DUMMYFUNCTION("""COMPUTED_VALUE"""),"75-84")</f>
        <v>75-84</v>
      </c>
      <c r="G4" s="4" t="str">
        <f ca="1">IFERROR(__xludf.DUMMYFUNCTION("""COMPUTED_VALUE"""),"Ghent University Library, 2024-03-11")</f>
        <v>Ghent University Library, 2024-03-11</v>
      </c>
      <c r="H4" s="4" t="str">
        <f ca="1">IFERROR(__xludf.DUMMYFUNCTION("""COMPUTED_VALUE"""),"No, I had never heard the IIIF acronym or seen/noticed the IIIF logo before I registered for the Mmmonk IIIF Workshop.")</f>
        <v>No, I had never heard the IIIF acronym or seen/noticed the IIIF logo before I registered for the Mmmonk IIIF Workshop.</v>
      </c>
      <c r="I4" s="4" t="str">
        <f ca="1">IFERROR(__xludf.DUMMYFUNCTION("""COMPUTED_VALUE"""),"No")</f>
        <v>No</v>
      </c>
      <c r="J4" s="4"/>
      <c r="K4" s="4"/>
      <c r="L4" s="4"/>
      <c r="M4" s="4"/>
      <c r="N4" s="4" t="str">
        <f ca="1">IFERROR(__xludf.DUMMYFUNCTION("""COMPUTED_VALUE"""),"Onderzoek en conservering van kwetsbare exemplaren")</f>
        <v>Onderzoek en conservering van kwetsbare exemplaren</v>
      </c>
      <c r="O4" s="4" t="str">
        <f ca="1">IFERROR(__xludf.DUMMYFUNCTION("""COMPUTED_VALUE"""),"No")</f>
        <v>No</v>
      </c>
      <c r="P4" s="4" t="str">
        <f ca="1">IFERROR(__xludf.DUMMYFUNCTION("""COMPUTED_VALUE"""),"Ik heb de workshop niet bijgewoond")</f>
        <v>Ik heb de workshop niet bijgewoond</v>
      </c>
      <c r="Q4" s="4" t="str">
        <f ca="1">IFERROR(__xludf.DUMMYFUNCTION("""COMPUTED_VALUE"""),"No")</f>
        <v>No</v>
      </c>
      <c r="R4" s="4"/>
      <c r="S4" s="4"/>
      <c r="T4" s="4"/>
      <c r="U4" s="4"/>
      <c r="V4" s="4"/>
      <c r="W4" s="4"/>
      <c r="X4" s="4"/>
      <c r="Y4" s="4"/>
      <c r="Z4" s="4"/>
      <c r="AA4" s="4"/>
      <c r="AB4" s="4" t="str">
        <f ca="1">IFERROR(__xludf.DUMMYFUNCTION("""COMPUTED_VALUE"""),"Heb de workshop niet bijgewoond en kan bijgevolg niet antwoorden")</f>
        <v>Heb de workshop niet bijgewoond en kan bijgevolg niet antwoorden</v>
      </c>
      <c r="AC4" s="4" t="str">
        <f ca="1">IFERROR(__xludf.DUMMYFUNCTION("""COMPUTED_VALUE"""),"Ik zal er niet mee in aanraking komen maar ben wel erg geinteresseerd")</f>
        <v>Ik zal er niet mee in aanraking komen maar ben wel erg geinteresseerd</v>
      </c>
      <c r="AD4" s="4" t="str">
        <f ca="1">IFERROR(__xludf.DUMMYFUNCTION("""COMPUTED_VALUE"""),"Bij het lezen stuit ik soms op belangrijke collecties en manuscripten dan zou ik er meer over willen weten ")</f>
        <v xml:space="preserve">Bij het lezen stuit ik soms op belangrijke collecties en manuscripten dan zou ik er meer over willen weten </v>
      </c>
      <c r="AE4" s="4" t="str">
        <f ca="1">IFERROR(__xludf.DUMMYFUNCTION("""COMPUTED_VALUE"""),"Inzicht verwerven over eventuele hulp")</f>
        <v>Inzicht verwerven over eventuele hulp</v>
      </c>
      <c r="AF4" s="4" t="str">
        <f ca="1">IFERROR(__xludf.DUMMYFUNCTION("""COMPUTED_VALUE"""),"No")</f>
        <v>No</v>
      </c>
      <c r="AG4" s="4"/>
      <c r="AH4" s="4" t="str">
        <f ca="1">IFERROR(__xludf.DUMMYFUNCTION("""COMPUTED_VALUE"""),"Het ontdekken van belangrijke collecties ")</f>
        <v xml:space="preserve">Het ontdekken van belangrijke collecties </v>
      </c>
      <c r="AI4" s="4" t="str">
        <f ca="1">IFERROR(__xludf.DUMMYFUNCTION("""COMPUTED_VALUE"""),"Ik zou graag op de hoogte gebracht worden van de bevindingen")</f>
        <v>Ik zou graag op de hoogte gebracht worden van de bevindingen</v>
      </c>
      <c r="AJ4" s="4"/>
      <c r="AK4" s="4"/>
      <c r="AL4" s="4"/>
      <c r="AM4" s="4"/>
      <c r="AN4" s="4"/>
      <c r="AO4" s="4"/>
    </row>
    <row r="5" spans="1:41" x14ac:dyDescent="0.25">
      <c r="A5" s="5">
        <f ca="1">IFERROR(__xludf.DUMMYFUNCTION("""COMPUTED_VALUE"""),45399.2863603009)</f>
        <v>45399.286360300903</v>
      </c>
      <c r="B5" s="4" t="str">
        <f ca="1">IFERROR(__xludf.DUMMYFUNCTION("""COMPUTED_VALUE"""),"Library (including university library)")</f>
        <v>Library (including university library)</v>
      </c>
      <c r="C5" s="4" t="str">
        <f ca="1">IFERROR(__xludf.DUMMYFUNCTION("""COMPUTED_VALUE"""),"Collection management")</f>
        <v>Collection management</v>
      </c>
      <c r="D5" s="4" t="str">
        <f ca="1">IFERROR(__xludf.DUMMYFUNCTION("""COMPUTED_VALUE"""),"Belgium")</f>
        <v>Belgium</v>
      </c>
      <c r="E5" s="4"/>
      <c r="F5" s="4" t="str">
        <f ca="1">IFERROR(__xludf.DUMMYFUNCTION("""COMPUTED_VALUE"""),"35-44")</f>
        <v>35-44</v>
      </c>
      <c r="G5" s="4" t="str">
        <f ca="1">IFERROR(__xludf.DUMMYFUNCTION("""COMPUTED_VALUE"""),"Mmmonk School 2022, 2022-12-16")</f>
        <v>Mmmonk School 2022, 2022-12-16</v>
      </c>
      <c r="H5" s="4" t="str">
        <f ca="1">IFERROR(__xludf.DUMMYFUNCTION("""COMPUTED_VALUE"""),"Yes")</f>
        <v>Yes</v>
      </c>
      <c r="I5" s="4" t="str">
        <f ca="1">IFERROR(__xludf.DUMMYFUNCTION("""COMPUTED_VALUE"""),"Yes")</f>
        <v>Yes</v>
      </c>
      <c r="J5" s="4" t="str">
        <f ca="1">IFERROR(__xludf.DUMMYFUNCTION("""COMPUTED_VALUE"""),"IIIF is implemented by my institution")</f>
        <v>IIIF is implemented by my institution</v>
      </c>
      <c r="K5" s="4" t="str">
        <f ca="1">IFERROR(__xludf.DUMMYFUNCTION("""COMPUTED_VALUE"""),"Colleague")</f>
        <v>Colleague</v>
      </c>
      <c r="L5" s="4"/>
      <c r="M5" s="4"/>
      <c r="N5" s="4" t="str">
        <f ca="1">IFERROR(__xludf.DUMMYFUNCTION("""COMPUTED_VALUE"""),"A way to standardize the delivery of images online.")</f>
        <v>A way to standardize the delivery of images online.</v>
      </c>
      <c r="O5" s="4" t="str">
        <f ca="1">IFERROR(__xludf.DUMMYFUNCTION("""COMPUTED_VALUE"""),"No")</f>
        <v>No</v>
      </c>
      <c r="P5" s="4" t="str">
        <f ca="1">IFERROR(__xludf.DUMMYFUNCTION("""COMPUTED_VALUE"""),"Download an image using Universal Viewer")</f>
        <v>Download an image using Universal Viewer</v>
      </c>
      <c r="Q5" s="4" t="str">
        <f ca="1">IFERROR(__xludf.DUMMYFUNCTION("""COMPUTED_VALUE"""),"No")</f>
        <v>No</v>
      </c>
      <c r="R5" s="4"/>
      <c r="S5" s="4"/>
      <c r="T5" s="4"/>
      <c r="U5" s="4"/>
      <c r="V5" s="4"/>
      <c r="W5" s="4"/>
      <c r="X5" s="4"/>
      <c r="Y5" s="4"/>
      <c r="Z5" s="4"/>
      <c r="AA5" s="4"/>
      <c r="AB5" s="4" t="str">
        <f ca="1">IFERROR(__xludf.DUMMYFUNCTION("""COMPUTED_VALUE"""),"Not applicable in my job.")</f>
        <v>Not applicable in my job.</v>
      </c>
      <c r="AC5" s="4" t="str">
        <f ca="1">IFERROR(__xludf.DUMMYFUNCTION("""COMPUTED_VALUE"""),"Nothing.")</f>
        <v>Nothing.</v>
      </c>
      <c r="AD5" s="4" t="str">
        <f ca="1">IFERROR(__xludf.DUMMYFUNCTION("""COMPUTED_VALUE"""),"Very hands-on with examples you can immediately apply yourself. ")</f>
        <v xml:space="preserve">Very hands-on with examples you can immediately apply yourself. </v>
      </c>
      <c r="AE5" s="4" t="str">
        <f ca="1">IFERROR(__xludf.DUMMYFUNCTION("""COMPUTED_VALUE"""),"It was online. ")</f>
        <v xml:space="preserve">It was online. </v>
      </c>
      <c r="AF5" s="4" t="str">
        <f ca="1">IFERROR(__xludf.DUMMYFUNCTION("""COMPUTED_VALUE"""),"Yes")</f>
        <v>Yes</v>
      </c>
      <c r="AG5" s="4" t="str">
        <f ca="1">IFERROR(__xludf.DUMMYFUNCTION("""COMPUTED_VALUE"""),"MMMONK website (https://www.mmmonk.be)")</f>
        <v>MMMONK website (https://www.mmmonk.be)</v>
      </c>
      <c r="AH5" s="4"/>
      <c r="AI5" s="4"/>
      <c r="AJ5" s="4"/>
      <c r="AK5" s="4"/>
      <c r="AL5" s="4"/>
      <c r="AM5" s="4"/>
      <c r="AN5" s="4"/>
      <c r="AO5" s="4"/>
    </row>
    <row r="6" spans="1:41" x14ac:dyDescent="0.25">
      <c r="A6" s="5">
        <f ca="1">IFERROR(__xludf.DUMMYFUNCTION("""COMPUTED_VALUE"""),45399.6086665856)</f>
        <v>45399.608666585598</v>
      </c>
      <c r="B6" s="4" t="str">
        <f ca="1">IFERROR(__xludf.DUMMYFUNCTION("""COMPUTED_VALUE"""),"Library (including university library)")</f>
        <v>Library (including university library)</v>
      </c>
      <c r="C6" s="4" t="str">
        <f ca="1">IFERROR(__xludf.DUMMYFUNCTION("""COMPUTED_VALUE"""),"Preservation Science")</f>
        <v>Preservation Science</v>
      </c>
      <c r="D6" s="4" t="str">
        <f ca="1">IFERROR(__xludf.DUMMYFUNCTION("""COMPUTED_VALUE"""),"United States")</f>
        <v>United States</v>
      </c>
      <c r="E6" s="4"/>
      <c r="F6" s="4" t="str">
        <f ca="1">IFERROR(__xludf.DUMMYFUNCTION("""COMPUTED_VALUE"""),"18-24")</f>
        <v>18-24</v>
      </c>
      <c r="G6" s="4" t="str">
        <f ca="1">IFERROR(__xludf.DUMMYFUNCTION("""COMPUTED_VALUE"""),"Library of Congress, Dr. Fenella France, 2024-03-14")</f>
        <v>Library of Congress, Dr. Fenella France, 2024-03-14</v>
      </c>
      <c r="H6" s="4" t="str">
        <f ca="1">IFERROR(__xludf.DUMMYFUNCTION("""COMPUTED_VALUE"""),"No, I had never heard the IIIF acronym or seen/noticed the IIIF logo before I registered for the Mmmonk IIIF Workshop.")</f>
        <v>No, I had never heard the IIIF acronym or seen/noticed the IIIF logo before I registered for the Mmmonk IIIF Workshop.</v>
      </c>
      <c r="I6" s="4" t="str">
        <f ca="1">IFERROR(__xludf.DUMMYFUNCTION("""COMPUTED_VALUE"""),"No")</f>
        <v>No</v>
      </c>
      <c r="J6" s="4"/>
      <c r="K6" s="4"/>
      <c r="L6" s="4"/>
      <c r="M6" s="4"/>
      <c r="N6" s="4" t="str">
        <f ca="1">IFERROR(__xludf.DUMMYFUNCTION("""COMPUTED_VALUE"""),"IIIF is a kind of code(?) that allows for images and metadata to be easily shared across multiple platforms. The images and metadata are stored in one digital location but through IIIF, can be accessed elsewhere without the need for duplication. ")</f>
        <v xml:space="preserve">IIIF is a kind of code(?) that allows for images and metadata to be easily shared across multiple platforms. The images and metadata are stored in one digital location but through IIIF, can be accessed elsewhere without the need for duplication. </v>
      </c>
      <c r="O6" s="4" t="str">
        <f ca="1">IFERROR(__xludf.DUMMYFUNCTION("""COMPUTED_VALUE"""),"No")</f>
        <v>No</v>
      </c>
      <c r="P6" s="4" t="str">
        <f ca="1">IFERROR(__xludf.DUMMYFUNCTION("""COMPUTED_VALUE"""),"Compare items in the Mirador Viewer")</f>
        <v>Compare items in the Mirador Viewer</v>
      </c>
      <c r="Q6" s="4" t="str">
        <f ca="1">IFERROR(__xludf.DUMMYFUNCTION("""COMPUTED_VALUE"""),"No")</f>
        <v>No</v>
      </c>
      <c r="R6" s="4"/>
      <c r="S6" s="4"/>
      <c r="T6" s="4"/>
      <c r="U6" s="4"/>
      <c r="V6" s="4"/>
      <c r="W6" s="4"/>
      <c r="X6" s="4"/>
      <c r="Y6" s="4"/>
      <c r="Z6" s="4"/>
      <c r="AA6" s="4"/>
      <c r="AB6" s="4" t="str">
        <f ca="1">IFERROR(__xludf.DUMMYFUNCTION("""COMPUTED_VALUE"""),"Haven't had the time or occasion yet")</f>
        <v>Haven't had the time or occasion yet</v>
      </c>
      <c r="AC6" s="4" t="str">
        <f ca="1">IFERROR(__xludf.DUMMYFUNCTION("""COMPUTED_VALUE"""),"More widespread use of IIIF so that I would not have to mix IIIF and non-IIIF items")</f>
        <v>More widespread use of IIIF so that I would not have to mix IIIF and non-IIIF items</v>
      </c>
      <c r="AD6" s="4" t="str">
        <f ca="1">IFERROR(__xludf.DUMMYFUNCTION("""COMPUTED_VALUE"""),"I liked most the hands-on activities embedded into the workshop because I feel this ensures that participants walk away with hands-on skills by the end of the workshop. I also enjoyed the smallness of the workshop so that people could ask questions and ge"&amp;"t personalized attention. ")</f>
        <v xml:space="preserve">I liked most the hands-on activities embedded into the workshop because I feel this ensures that participants walk away with hands-on skills by the end of the workshop. I also enjoyed the smallness of the workshop so that people could ask questions and get personalized attention. </v>
      </c>
      <c r="AE6" s="4" t="str">
        <f ca="1">IFERROR(__xludf.DUMMYFUNCTION("""COMPUTED_VALUE"""),"I understand that this workshop is meant to be for beginners, but if more background information about code/what a manifest actually is could be given, I think that would help improve the completeness of the information provided. ")</f>
        <v xml:space="preserve">I understand that this workshop is meant to be for beginners, but if more background information about code/what a manifest actually is could be given, I think that would help improve the completeness of the information provided. </v>
      </c>
      <c r="AF6" s="4" t="str">
        <f ca="1">IFERROR(__xludf.DUMMYFUNCTION("""COMPUTED_VALUE"""),"No")</f>
        <v>No</v>
      </c>
      <c r="AG6" s="4"/>
      <c r="AH6" s="4"/>
      <c r="AI6" s="4"/>
      <c r="AJ6" s="4"/>
      <c r="AK6" s="4"/>
      <c r="AL6" s="4"/>
      <c r="AM6" s="4"/>
      <c r="AN6" s="4"/>
      <c r="AO6" s="4"/>
    </row>
    <row r="7" spans="1:41" x14ac:dyDescent="0.25">
      <c r="A7" s="5">
        <f ca="1">IFERROR(__xludf.DUMMYFUNCTION("""COMPUTED_VALUE"""),45400.3798577893)</f>
        <v>45400.379857789303</v>
      </c>
      <c r="B7" s="4" t="str">
        <f ca="1">IFERROR(__xludf.DUMMYFUNCTION("""COMPUTED_VALUE"""),"Supporting organisation or service provider")</f>
        <v>Supporting organisation or service provider</v>
      </c>
      <c r="C7" s="4" t="str">
        <f ca="1">IFERROR(__xludf.DUMMYFUNCTION("""COMPUTED_VALUE"""),"ICT")</f>
        <v>ICT</v>
      </c>
      <c r="D7" s="4" t="str">
        <f ca="1">IFERROR(__xludf.DUMMYFUNCTION("""COMPUTED_VALUE"""),"Belgium")</f>
        <v>Belgium</v>
      </c>
      <c r="E7" s="4"/>
      <c r="F7" s="4" t="str">
        <f ca="1">IFERROR(__xludf.DUMMYFUNCTION("""COMPUTED_VALUE"""),"45-54")</f>
        <v>45-54</v>
      </c>
      <c r="G7" s="4" t="str">
        <f ca="1">IFERROR(__xludf.DUMMYFUNCTION("""COMPUTED_VALUE"""),"meemoo, Flemish institute for archives, 2023-12-14")</f>
        <v>meemoo, Flemish institute for archives, 2023-12-14</v>
      </c>
      <c r="H7" s="4" t="str">
        <f ca="1">IFERROR(__xludf.DUMMYFUNCTION("""COMPUTED_VALUE"""),"Yes")</f>
        <v>Yes</v>
      </c>
      <c r="I7" s="4" t="str">
        <f ca="1">IFERROR(__xludf.DUMMYFUNCTION("""COMPUTED_VALUE"""),"No")</f>
        <v>No</v>
      </c>
      <c r="J7" s="4"/>
      <c r="K7" s="4"/>
      <c r="L7" s="4"/>
      <c r="M7" s="4"/>
      <c r="N7" s="4" t="str">
        <f ca="1">IFERROR(__xludf.DUMMYFUNCTION("""COMPUTED_VALUE"""),"een standaard die het ontsluiten en uitwisselen van beeldmateriaal beschrijft")</f>
        <v>een standaard die het ontsluiten en uitwisselen van beeldmateriaal beschrijft</v>
      </c>
      <c r="O7" s="4" t="str">
        <f ca="1">IFERROR(__xludf.DUMMYFUNCTION("""COMPUTED_VALUE"""),"No")</f>
        <v>No</v>
      </c>
      <c r="P7" s="4" t="str">
        <f ca="1">IFERROR(__xludf.DUMMYFUNCTION("""COMPUTED_VALUE"""),"Finding IIIF manifests using DetektIIIF")</f>
        <v>Finding IIIF manifests using DetektIIIF</v>
      </c>
      <c r="Q7" s="4" t="str">
        <f ca="1">IFERROR(__xludf.DUMMYFUNCTION("""COMPUTED_VALUE"""),"No")</f>
        <v>No</v>
      </c>
      <c r="R7" s="4"/>
      <c r="S7" s="4"/>
      <c r="T7" s="4"/>
      <c r="U7" s="4"/>
      <c r="V7" s="4"/>
      <c r="W7" s="4"/>
      <c r="X7" s="4"/>
      <c r="Y7" s="4"/>
      <c r="Z7" s="4"/>
      <c r="AA7" s="4"/>
      <c r="AB7" s="4" t="str">
        <f ca="1">IFERROR(__xludf.DUMMYFUNCTION("""COMPUTED_VALUE"""),"op dit moment binnen mijn job is enkel de theoretische kennis noodzakelijk")</f>
        <v>op dit moment binnen mijn job is enkel de theoretische kennis noodzakelijk</v>
      </c>
      <c r="AC7" s="4" t="str">
        <f ca="1">IFERROR(__xludf.DUMMYFUNCTION("""COMPUTED_VALUE"""),"dat zal afhangen van de verdere projectplanning")</f>
        <v>dat zal afhangen van de verdere projectplanning</v>
      </c>
      <c r="AD7" s="4" t="str">
        <f ca="1">IFERROR(__xludf.DUMMYFUNCTION("""COMPUTED_VALUE"""),"de praktijkgerichte oefeningen waarmee je meteen aan de slag kan")</f>
        <v>de praktijkgerichte oefeningen waarmee je meteen aan de slag kan</v>
      </c>
      <c r="AE7" s="4" t="str">
        <f ca="1">IFERROR(__xludf.DUMMYFUNCTION("""COMPUTED_VALUE"""),"niet meteen verandering nodig")</f>
        <v>niet meteen verandering nodig</v>
      </c>
      <c r="AF7" s="4" t="str">
        <f ca="1">IFERROR(__xludf.DUMMYFUNCTION("""COMPUTED_VALUE"""),"Yes")</f>
        <v>Yes</v>
      </c>
      <c r="AG7" s="4" t="str">
        <f ca="1">IFERROR(__xludf.DUMMYFUNCTION("""COMPUTED_VALUE"""),"IIIF website (https://iiif.io/), MMMONK website (https://www.mmmonk.be), ")</f>
        <v xml:space="preserve">IIIF website (https://iiif.io/), MMMONK website (https://www.mmmonk.be), </v>
      </c>
      <c r="AH7" s="4"/>
      <c r="AI7" s="4" t="str">
        <f ca="1">IFERROR(__xludf.DUMMYFUNCTION("""COMPUTED_VALUE"""),"esther.ooms@meemoo.be")</f>
        <v>esther.ooms@meemoo.be</v>
      </c>
      <c r="AJ7" s="4"/>
      <c r="AK7" s="4"/>
      <c r="AL7" s="4"/>
      <c r="AM7" s="4"/>
      <c r="AN7" s="4"/>
      <c r="AO7" s="4"/>
    </row>
    <row r="8" spans="1:41" x14ac:dyDescent="0.25">
      <c r="A8" s="5">
        <f ca="1">IFERROR(__xludf.DUMMYFUNCTION("""COMPUTED_VALUE"""),45400.5499974537)</f>
        <v>45400.549997453702</v>
      </c>
      <c r="B8" s="4" t="str">
        <f ca="1">IFERROR(__xludf.DUMMYFUNCTION("""COMPUTED_VALUE"""),"University (faculty)")</f>
        <v>University (faculty)</v>
      </c>
      <c r="C8" s="4" t="str">
        <f ca="1">IFERROR(__xludf.DUMMYFUNCTION("""COMPUTED_VALUE"""),"Student")</f>
        <v>Student</v>
      </c>
      <c r="D8" s="4" t="str">
        <f ca="1">IFERROR(__xludf.DUMMYFUNCTION("""COMPUTED_VALUE"""),"Germany")</f>
        <v>Germany</v>
      </c>
      <c r="E8" s="4"/>
      <c r="F8" s="4" t="str">
        <f ca="1">IFERROR(__xludf.DUMMYFUNCTION("""COMPUTED_VALUE"""),"18-24")</f>
        <v>18-24</v>
      </c>
      <c r="G8" s="4" t="str">
        <f ca="1">IFERROR(__xludf.DUMMYFUNCTION("""COMPUTED_VALUE"""),"Mmmonk School 2023, 2023-12-01")</f>
        <v>Mmmonk School 2023, 2023-12-01</v>
      </c>
      <c r="H8" s="4" t="str">
        <f ca="1">IFERROR(__xludf.DUMMYFUNCTION("""COMPUTED_VALUE"""),"No, I had never heard the IIIF acronym or seen/noticed the IIIF logo before I registered for the Mmmonk IIIF Workshop.")</f>
        <v>No, I had never heard the IIIF acronym or seen/noticed the IIIF logo before I registered for the Mmmonk IIIF Workshop.</v>
      </c>
      <c r="I8" s="4" t="str">
        <f ca="1">IFERROR(__xludf.DUMMYFUNCTION("""COMPUTED_VALUE"""),"No")</f>
        <v>No</v>
      </c>
      <c r="J8" s="4"/>
      <c r="K8" s="4"/>
      <c r="L8" s="4"/>
      <c r="M8" s="4"/>
      <c r="N8" s="4" t="str">
        <f ca="1">IFERROR(__xludf.DUMMYFUNCTION("""COMPUTED_VALUE"""),"IIIF is a project that offers a standard for the digital publication of images. It also coorperates with several academic institutions.")</f>
        <v>IIIF is a project that offers a standard for the digital publication of images. It also coorperates with several academic institutions.</v>
      </c>
      <c r="O8" s="4" t="str">
        <f ca="1">IFERROR(__xludf.DUMMYFUNCTION("""COMPUTED_VALUE"""),"No")</f>
        <v>No</v>
      </c>
      <c r="P8" s="4" t="str">
        <f ca="1">IFERROR(__xludf.DUMMYFUNCTION("""COMPUTED_VALUE"""),"Create a virtual tour in a.o. Exhibit")</f>
        <v>Create a virtual tour in a.o. Exhibit</v>
      </c>
      <c r="Q8" s="4" t="str">
        <f ca="1">IFERROR(__xludf.DUMMYFUNCTION("""COMPUTED_VALUE"""),"No")</f>
        <v>No</v>
      </c>
      <c r="R8" s="4"/>
      <c r="S8" s="4"/>
      <c r="T8" s="4"/>
      <c r="U8" s="4"/>
      <c r="V8" s="4"/>
      <c r="W8" s="4"/>
      <c r="X8" s="4"/>
      <c r="Y8" s="4"/>
      <c r="Z8" s="4"/>
      <c r="AA8" s="4"/>
      <c r="AB8" s="4" t="str">
        <f ca="1">IFERROR(__xludf.DUMMYFUNCTION("""COMPUTED_VALUE"""),"Haven't had the time or occasion yet")</f>
        <v>Haven't had the time or occasion yet</v>
      </c>
      <c r="AC8" s="4" t="str">
        <f ca="1">IFERROR(__xludf.DUMMYFUNCTION("""COMPUTED_VALUE"""),"It would just be the right occasion. ")</f>
        <v xml:space="preserve">It would just be the right occasion. </v>
      </c>
      <c r="AD8" s="4" t="str">
        <f ca="1">IFERROR(__xludf.DUMMYFUNCTION("""COMPUTED_VALUE"""),"I liked the fact that, while the workshop was online and you could ask questions after the presentation, the recordings of the talks were still published. This way I could rewatch the talks in case I had missed something and actually recommend them to som"&amp;"e peers and even a tutor at my university! I also really like the introductory approach, so that you can even listen to some talks if you have not yet worked with the manuscripts a lot. ")</f>
        <v xml:space="preserve">I liked the fact that, while the workshop was online and you could ask questions after the presentation, the recordings of the talks were still published. This way I could rewatch the talks in case I had missed something and actually recommend them to some peers and even a tutor at my university! I also really like the introductory approach, so that you can even listen to some talks if you have not yet worked with the manuscripts a lot. </v>
      </c>
      <c r="AE8" s="4" t="str">
        <f ca="1">IFERROR(__xludf.DUMMYFUNCTION("""COMPUTED_VALUE"""),"The fact that it used Miscrosoft Teams, which I feel is used less than Zoom (however, this might be a very subjective impression). ")</f>
        <v xml:space="preserve">The fact that it used Miscrosoft Teams, which I feel is used less than Zoom (however, this might be a very subjective impression). </v>
      </c>
      <c r="AF8" s="4" t="str">
        <f ca="1">IFERROR(__xludf.DUMMYFUNCTION("""COMPUTED_VALUE"""),"Yes")</f>
        <v>Yes</v>
      </c>
      <c r="AG8" s="4" t="str">
        <f ca="1">IFERROR(__xludf.DUMMYFUNCTION("""COMPUTED_VALUE"""),"MMMONK website (https://www.mmmonk.be)")</f>
        <v>MMMONK website (https://www.mmmonk.be)</v>
      </c>
      <c r="AH8" s="4"/>
      <c r="AI8" s="4"/>
      <c r="AJ8" s="4"/>
      <c r="AK8" s="4"/>
      <c r="AL8" s="4"/>
      <c r="AM8" s="4"/>
      <c r="AN8" s="4"/>
      <c r="AO8" s="4"/>
    </row>
    <row r="9" spans="1:41" x14ac:dyDescent="0.25">
      <c r="A9" s="5">
        <f ca="1">IFERROR(__xludf.DUMMYFUNCTION("""COMPUTED_VALUE"""),45418.582847824)</f>
        <v>45418.582847824</v>
      </c>
      <c r="B9" s="4" t="str">
        <f ca="1">IFERROR(__xludf.DUMMYFUNCTION("""COMPUTED_VALUE"""),"Library (including university library)")</f>
        <v>Library (including university library)</v>
      </c>
      <c r="C9" s="4" t="str">
        <f ca="1">IFERROR(__xludf.DUMMYFUNCTION("""COMPUTED_VALUE"""),"Conservation (restauration)")</f>
        <v>Conservation (restauration)</v>
      </c>
      <c r="D9" s="4" t="str">
        <f ca="1">IFERROR(__xludf.DUMMYFUNCTION("""COMPUTED_VALUE"""),"Netherlands")</f>
        <v>Netherlands</v>
      </c>
      <c r="E9" s="4"/>
      <c r="F9" s="4" t="str">
        <f ca="1">IFERROR(__xludf.DUMMYFUNCTION("""COMPUTED_VALUE"""),"55-64")</f>
        <v>55-64</v>
      </c>
      <c r="G9" s="4" t="str">
        <f ca="1">IFERROR(__xludf.DUMMYFUNCTION("""COMPUTED_VALUE"""),"Mmmonk School 2023, 2023-12-01")</f>
        <v>Mmmonk School 2023, 2023-12-01</v>
      </c>
      <c r="H9" s="4" t="str">
        <f ca="1">IFERROR(__xludf.DUMMYFUNCTION("""COMPUTED_VALUE"""),"Yes")</f>
        <v>Yes</v>
      </c>
      <c r="I9" s="4" t="str">
        <f ca="1">IFERROR(__xludf.DUMMYFUNCTION("""COMPUTED_VALUE"""),"No")</f>
        <v>No</v>
      </c>
      <c r="J9" s="4"/>
      <c r="K9" s="4"/>
      <c r="L9" s="4"/>
      <c r="M9" s="4"/>
      <c r="N9" s="4" t="str">
        <f ca="1">IFERROR(__xludf.DUMMYFUNCTION("""COMPUTED_VALUE"""),"The ability to compare on line two illuminations from two medieval manuscripts kept at different institutions")</f>
        <v>The ability to compare on line two illuminations from two medieval manuscripts kept at different institutions</v>
      </c>
      <c r="O9" s="4" t="str">
        <f ca="1">IFERROR(__xludf.DUMMYFUNCTION("""COMPUTED_VALUE"""),"No")</f>
        <v>No</v>
      </c>
      <c r="P9" s="4" t="str">
        <f ca="1">IFERROR(__xludf.DUMMYFUNCTION("""COMPUTED_VALUE"""),"Compare items in the Mirador Viewer")</f>
        <v>Compare items in the Mirador Viewer</v>
      </c>
      <c r="Q9" s="4" t="str">
        <f ca="1">IFERROR(__xludf.DUMMYFUNCTION("""COMPUTED_VALUE"""),"No")</f>
        <v>No</v>
      </c>
      <c r="R9" s="4"/>
      <c r="S9" s="4"/>
      <c r="T9" s="4"/>
      <c r="U9" s="4"/>
      <c r="V9" s="4"/>
      <c r="W9" s="4"/>
      <c r="X9" s="4"/>
      <c r="Y9" s="4"/>
      <c r="Z9" s="4"/>
      <c r="AA9" s="4"/>
      <c r="AB9" s="4" t="str">
        <f ca="1">IFERROR(__xludf.DUMMYFUNCTION("""COMPUTED_VALUE"""),"It has no priority for my work")</f>
        <v>It has no priority for my work</v>
      </c>
      <c r="AC9" s="4" t="str">
        <f ca="1">IFERROR(__xludf.DUMMYFUNCTION("""COMPUTED_VALUE"""),"Maybe when there will be a moment that IIIF wil help with conservation problems.")</f>
        <v>Maybe when there will be a moment that IIIF wil help with conservation problems.</v>
      </c>
      <c r="AD9" s="4" t="str">
        <f ca="1">IFERROR(__xludf.DUMMYFUNCTION("""COMPUTED_VALUE"""),"Easy to register, and look for new knowlegde what interests me")</f>
        <v>Easy to register, and look for new knowlegde what interests me</v>
      </c>
      <c r="AE9" s="4" t="str">
        <f ca="1">IFERROR(__xludf.DUMMYFUNCTION("""COMPUTED_VALUE"""),"No idea")</f>
        <v>No idea</v>
      </c>
      <c r="AF9" s="4" t="str">
        <f ca="1">IFERROR(__xludf.DUMMYFUNCTION("""COMPUTED_VALUE"""),"No")</f>
        <v>No</v>
      </c>
      <c r="AG9" s="4"/>
      <c r="AH9" s="4"/>
      <c r="AI9" s="4"/>
      <c r="AJ9" s="4"/>
      <c r="AK9" s="4"/>
      <c r="AL9" s="4"/>
      <c r="AM9" s="4"/>
      <c r="AN9" s="4"/>
      <c r="AO9" s="4"/>
    </row>
    <row r="10" spans="1:41" x14ac:dyDescent="0.25">
      <c r="A10" s="5">
        <f ca="1">IFERROR(__xludf.DUMMYFUNCTION("""COMPUTED_VALUE"""),45422.4874656944)</f>
        <v>45422.487465694401</v>
      </c>
      <c r="B10" s="4" t="str">
        <f ca="1">IFERROR(__xludf.DUMMYFUNCTION("""COMPUTED_VALUE"""),"Library (including university library)")</f>
        <v>Library (including university library)</v>
      </c>
      <c r="C10" s="4" t="str">
        <f ca="1">IFERROR(__xludf.DUMMYFUNCTION("""COMPUTED_VALUE"""),"Collection management")</f>
        <v>Collection management</v>
      </c>
      <c r="D10" s="4" t="str">
        <f ca="1">IFERROR(__xludf.DUMMYFUNCTION("""COMPUTED_VALUE"""),"Belgium")</f>
        <v>Belgium</v>
      </c>
      <c r="E10" s="4"/>
      <c r="F10" s="4" t="str">
        <f ca="1">IFERROR(__xludf.DUMMYFUNCTION("""COMPUTED_VALUE"""),"55-64")</f>
        <v>55-64</v>
      </c>
      <c r="G10" s="4" t="str">
        <f ca="1">IFERROR(__xludf.DUMMYFUNCTION("""COMPUTED_VALUE"""),"Mmmonk School 2022, 2022-12-16")</f>
        <v>Mmmonk School 2022, 2022-12-16</v>
      </c>
      <c r="H10" s="4" t="str">
        <f ca="1">IFERROR(__xludf.DUMMYFUNCTION("""COMPUTED_VALUE"""),"Yes")</f>
        <v>Yes</v>
      </c>
      <c r="I10" s="4" t="str">
        <f ca="1">IFERROR(__xludf.DUMMYFUNCTION("""COMPUTED_VALUE"""),"No")</f>
        <v>No</v>
      </c>
      <c r="J10" s="4"/>
      <c r="K10" s="4"/>
      <c r="L10" s="4"/>
      <c r="M10" s="4"/>
      <c r="N10" s="4" t="str">
        <f ca="1">IFERROR(__xludf.DUMMYFUNCTION("""COMPUTED_VALUE"""),"A new digital method for management, sharing, and use of digital images")</f>
        <v>A new digital method for management, sharing, and use of digital images</v>
      </c>
      <c r="O10" s="4" t="str">
        <f ca="1">IFERROR(__xludf.DUMMYFUNCTION("""COMPUTED_VALUE"""),"No")</f>
        <v>No</v>
      </c>
      <c r="P10" s="4" t="str">
        <f ca="1">IFERROR(__xludf.DUMMYFUNCTION("""COMPUTED_VALUE"""),"Embed a viewer on a web page")</f>
        <v>Embed a viewer on a web page</v>
      </c>
      <c r="Q10" s="4" t="str">
        <f ca="1">IFERROR(__xludf.DUMMYFUNCTION("""COMPUTED_VALUE"""),"No")</f>
        <v>No</v>
      </c>
      <c r="R10" s="4"/>
      <c r="S10" s="4"/>
      <c r="T10" s="4"/>
      <c r="U10" s="4"/>
      <c r="V10" s="4"/>
      <c r="W10" s="4"/>
      <c r="X10" s="4"/>
      <c r="Y10" s="4"/>
      <c r="Z10" s="4"/>
      <c r="AA10" s="4"/>
      <c r="AB10" s="4" t="str">
        <f ca="1">IFERROR(__xludf.DUMMYFUNCTION("""COMPUTED_VALUE"""),"Haven't had the time or occasion yet")</f>
        <v>Haven't had the time or occasion yet</v>
      </c>
      <c r="AC10" s="4" t="str">
        <f ca="1">IFERROR(__xludf.DUMMYFUNCTION("""COMPUTED_VALUE"""),"A digital expert in our library")</f>
        <v>A digital expert in our library</v>
      </c>
      <c r="AD10" s="4" t="str">
        <f ca="1">IFERROR(__xludf.DUMMYFUNCTION("""COMPUTED_VALUE"""),"Is was a useful introduction ")</f>
        <v xml:space="preserve">Is was a useful introduction </v>
      </c>
      <c r="AE10" s="4" t="str">
        <f ca="1">IFERROR(__xludf.DUMMYFUNCTION("""COMPUTED_VALUE"""),"No answer")</f>
        <v>No answer</v>
      </c>
      <c r="AF10" s="4" t="str">
        <f ca="1">IFERROR(__xludf.DUMMYFUNCTION("""COMPUTED_VALUE"""),"Yes")</f>
        <v>Yes</v>
      </c>
      <c r="AG10" s="4" t="str">
        <f ca="1">IFERROR(__xludf.DUMMYFUNCTION("""COMPUTED_VALUE"""),"MMMONK website (https://www.mmmonk.be), website of meemoo (https://meemoo.be)")</f>
        <v>MMMONK website (https://www.mmmonk.be), website of meemoo (https://meemoo.be)</v>
      </c>
      <c r="AH10" s="4"/>
      <c r="AI10" s="4"/>
      <c r="AJ10" s="4"/>
      <c r="AK10" s="4"/>
      <c r="AL10" s="4"/>
      <c r="AM10" s="4"/>
      <c r="AN10" s="4"/>
      <c r="AO10" s="4"/>
    </row>
    <row r="11" spans="1:41" x14ac:dyDescent="0.25">
      <c r="A11" s="5">
        <f ca="1">IFERROR(__xludf.DUMMYFUNCTION("""COMPUTED_VALUE"""),45426.4044759027)</f>
        <v>45426.404475902702</v>
      </c>
      <c r="B11" s="4" t="str">
        <f ca="1">IFERROR(__xludf.DUMMYFUNCTION("""COMPUTED_VALUE"""),"Library (including university library)")</f>
        <v>Library (including university library)</v>
      </c>
      <c r="C11" s="4" t="str">
        <f ca="1">IFERROR(__xludf.DUMMYFUNCTION("""COMPUTED_VALUE"""),"Collection management")</f>
        <v>Collection management</v>
      </c>
      <c r="D11" s="4" t="str">
        <f ca="1">IFERROR(__xludf.DUMMYFUNCTION("""COMPUTED_VALUE"""),"Belgium")</f>
        <v>Belgium</v>
      </c>
      <c r="E11" s="4"/>
      <c r="F11" s="4" t="str">
        <f ca="1">IFERROR(__xludf.DUMMYFUNCTION("""COMPUTED_VALUE"""),"35-44")</f>
        <v>35-44</v>
      </c>
      <c r="G11" s="4" t="str">
        <f ca="1">IFERROR(__xludf.DUMMYFUNCTION("""COMPUTED_VALUE"""),"Mmmonk School 2023, 2023-12-01")</f>
        <v>Mmmonk School 2023, 2023-12-01</v>
      </c>
      <c r="H11" s="4" t="str">
        <f ca="1">IFERROR(__xludf.DUMMYFUNCTION("""COMPUTED_VALUE"""),"Yes")</f>
        <v>Yes</v>
      </c>
      <c r="I11" s="4" t="str">
        <f ca="1">IFERROR(__xludf.DUMMYFUNCTION("""COMPUTED_VALUE"""),"No")</f>
        <v>No</v>
      </c>
      <c r="J11" s="4"/>
      <c r="K11" s="4"/>
      <c r="L11" s="4"/>
      <c r="M11" s="4"/>
      <c r="N11" s="4" t="str">
        <f ca="1">IFERROR(__xludf.DUMMYFUNCTION("""COMPUTED_VALUE"""),"Een manier om beelden op te slaan en te delen met behoud van de metadata")</f>
        <v>Een manier om beelden op te slaan en te delen met behoud van de metadata</v>
      </c>
      <c r="O11" s="4" t="str">
        <f ca="1">IFERROR(__xludf.DUMMYFUNCTION("""COMPUTED_VALUE"""),"No")</f>
        <v>No</v>
      </c>
      <c r="P11" s="4" t="str">
        <f ca="1">IFERROR(__xludf.DUMMYFUNCTION("""COMPUTED_VALUE"""),"I didn't attend the IIIF workshop")</f>
        <v>I didn't attend the IIIF workshop</v>
      </c>
      <c r="Q11" s="4" t="str">
        <f ca="1">IFERROR(__xludf.DUMMYFUNCTION("""COMPUTED_VALUE"""),"No")</f>
        <v>No</v>
      </c>
      <c r="R11" s="4"/>
      <c r="S11" s="4"/>
      <c r="T11" s="4"/>
      <c r="U11" s="4"/>
      <c r="V11" s="4"/>
      <c r="W11" s="4"/>
      <c r="X11" s="4"/>
      <c r="Y11" s="4"/>
      <c r="Z11" s="4"/>
      <c r="AA11" s="4"/>
      <c r="AB11" s="4" t="str">
        <f ca="1">IFERROR(__xludf.DUMMYFUNCTION("""COMPUTED_VALUE"""),"Haven't had the time or occasion yet")</f>
        <v>Haven't had the time or occasion yet</v>
      </c>
      <c r="AC11" s="4" t="str">
        <f ca="1">IFERROR(__xludf.DUMMYFUNCTION("""COMPUTED_VALUE"""),"I don't work with images, only catalography and library management. When starting projects about specific themes and prints, I would definitely like to learn more about IIIF, but sofar hadn't had the time for it")</f>
        <v>I don't work with images, only catalography and library management. When starting projects about specific themes and prints, I would definitely like to learn more about IIIF, but sofar hadn't had the time for it</v>
      </c>
      <c r="AD11" s="4" t="str">
        <f ca="1">IFERROR(__xludf.DUMMYFUNCTION("""COMPUTED_VALUE"""),"I  loved the information about book covers and the history of it")</f>
        <v>I  loved the information about book covers and the history of it</v>
      </c>
      <c r="AE11" s="4" t="str">
        <f ca="1">IFERROR(__xludf.DUMMYFUNCTION("""COMPUTED_VALUE"""),"none")</f>
        <v>none</v>
      </c>
      <c r="AF11" s="4" t="str">
        <f ca="1">IFERROR(__xludf.DUMMYFUNCTION("""COMPUTED_VALUE"""),"No")</f>
        <v>No</v>
      </c>
      <c r="AG11" s="4"/>
      <c r="AH11" s="4"/>
      <c r="AI11" s="4"/>
      <c r="AJ11" s="4"/>
      <c r="AK11" s="4"/>
      <c r="AL11" s="4"/>
      <c r="AM11" s="4"/>
      <c r="AN11" s="4"/>
      <c r="AO1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All</vt:lpstr>
      <vt:lpstr>Unaware of IIIF before workshop</vt:lpstr>
      <vt:lpstr>Not using IIIF now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Evelien Hauwaerts</dc:creator>
  <cp:lastModifiedBy>Evelien Hauwaerts</cp:lastModifiedBy>
  <dcterms:created xsi:type="dcterms:W3CDTF">2024-05-28T14:53:56Z</dcterms:created>
  <dcterms:modified xsi:type="dcterms:W3CDTF">2024-05-28T14:57:59Z</dcterms:modified>
</cp:coreProperties>
</file>